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Orcamento" sheetId="1" r:id="rId1"/>
    <sheet name="Composicoes" sheetId="2" r:id="rId2"/>
    <sheet name="Cronograma" sheetId="3" r:id="rId3"/>
    <sheet name="Curva ABC" sheetId="4" r:id="rId4"/>
  </sheets>
  <definedNames/>
  <calcPr fullCalcOnLoad="1"/>
</workbook>
</file>

<file path=xl/sharedStrings.xml><?xml version="1.0" encoding="utf-8"?>
<sst xmlns="http://schemas.openxmlformats.org/spreadsheetml/2006/main" count="1748" uniqueCount="265">
  <si>
    <t>ORÇAMENTO</t>
  </si>
  <si>
    <t>ITEM</t>
  </si>
  <si>
    <t>DESCRIÇÃO</t>
  </si>
  <si>
    <t>UNID.</t>
  </si>
  <si>
    <t>CUSTO UNITARIO</t>
  </si>
  <si>
    <t>BDI</t>
  </si>
  <si>
    <t>PREÇO TOTAL</t>
  </si>
  <si>
    <t>1.1</t>
  </si>
  <si>
    <t>CCU 01</t>
  </si>
  <si>
    <t>1.2</t>
  </si>
  <si>
    <t>und</t>
  </si>
  <si>
    <t>2.1</t>
  </si>
  <si>
    <t>CCU 02</t>
  </si>
  <si>
    <t>2.2</t>
  </si>
  <si>
    <t>CCU 03</t>
  </si>
  <si>
    <t>CCU 05</t>
  </si>
  <si>
    <t>3.1</t>
  </si>
  <si>
    <t>CCU 06</t>
  </si>
  <si>
    <t>CCU 07</t>
  </si>
  <si>
    <t>CCU 09</t>
  </si>
  <si>
    <t>CCU 10</t>
  </si>
  <si>
    <t>CCU 12</t>
  </si>
  <si>
    <t>CCU 14</t>
  </si>
  <si>
    <t>Notas:</t>
  </si>
  <si>
    <t>DATA REFERENCIA TÉCNICA:</t>
  </si>
  <si>
    <t>Engº Civil Demitrio Fleck</t>
  </si>
  <si>
    <t>CREA RS 145877</t>
  </si>
  <si>
    <t>COMPOSIÇÃO DE CUSTOS UNITÁRIOS</t>
  </si>
  <si>
    <t>CÓDIGO:</t>
  </si>
  <si>
    <t>DESCRIÇÃO:</t>
  </si>
  <si>
    <t>UNIDADE</t>
  </si>
  <si>
    <t>QUANT.</t>
  </si>
  <si>
    <t>REFERENCIA</t>
  </si>
  <si>
    <t>CHP</t>
  </si>
  <si>
    <t>TOTAL</t>
  </si>
  <si>
    <t>A4 - Plotagem em Papel Comum - Preto/Branco</t>
  </si>
  <si>
    <t>A1 - Plotagem em Papel Comum - Preto/Branco</t>
  </si>
  <si>
    <t>ENGENHEIRO CIVIL PLENO COM ENCARGOS COMPLEMENTARES</t>
  </si>
  <si>
    <t>ENGENHEIRO ELETRICISTA COM ENCARGOS COMPLEMENTARES</t>
  </si>
  <si>
    <t>Taxa Corpo de Bombeiros (Analise PPCI)</t>
  </si>
  <si>
    <t>UPF/RS</t>
  </si>
  <si>
    <t>Secret. Fazenda RS</t>
  </si>
  <si>
    <t>A1 - Plotagem em Papel Comum - Colorida</t>
  </si>
  <si>
    <t>CRONOGRAMA FÍSICO - FINANCEIRO</t>
  </si>
  <si>
    <t>R$</t>
  </si>
  <si>
    <t>1.3</t>
  </si>
  <si>
    <t>Projeto Elétrico</t>
  </si>
  <si>
    <t>Documento de Responsabilidade Técnica</t>
  </si>
  <si>
    <t>CCU 15</t>
  </si>
  <si>
    <t>CCU 16</t>
  </si>
  <si>
    <t>SERVENTE COM ENCARGOS COMPLEMENTARES</t>
  </si>
  <si>
    <t>3.2</t>
  </si>
  <si>
    <t>Elaboração e Aprovação do Plano e do Projeto Executivo de Prevenção e Proteção Contra Incêndios</t>
  </si>
  <si>
    <t>ENGENHEIRO MECÂNICO COM ENCARGOS COMPLEMENTARES</t>
  </si>
  <si>
    <t>Veículo leve</t>
  </si>
  <si>
    <t>3.1.1</t>
  </si>
  <si>
    <t>Cadastro Redes de abastecimento e de infraestrutura (DEP/DMAE/PROCEMPA/CEEE)</t>
  </si>
  <si>
    <t>TÉCNICO DE SONDAGEM COM ENCARGOS COMPLEMENTARES</t>
  </si>
  <si>
    <t>CHI</t>
  </si>
  <si>
    <t>ENCARGOS SOCIAIS: 111,10% horista (Não desonerado)</t>
  </si>
  <si>
    <t>SICRO</t>
  </si>
  <si>
    <t>E9093</t>
  </si>
  <si>
    <t>SINAPI</t>
  </si>
  <si>
    <t>FONTE</t>
  </si>
  <si>
    <t>CÓDIGO</t>
  </si>
  <si>
    <t>PREFEITURA MUNICIPAL DE PORTO ALEGRE</t>
  </si>
  <si>
    <t>COMPOSIÇÃO</t>
  </si>
  <si>
    <t>CUSTO TOTAL:</t>
  </si>
  <si>
    <t>UNIDADE:</t>
  </si>
  <si>
    <t xml:space="preserve"> TOTAL</t>
  </si>
  <si>
    <t>TOTAL ACUM.</t>
  </si>
  <si>
    <t>AUXILIAR DE TOPÓGRAFO COM ENCARGOS COMPLEMENTARES</t>
  </si>
  <si>
    <t>SINAPI 78472</t>
  </si>
  <si>
    <t>DESENHISTA DETALHISTA COM ENCARGOS COMPLEMENTARES</t>
  </si>
  <si>
    <t>CAMINHONETE CABINE SIMPLES COM MOTOR 1.6 FLEX, CÂMBIO MANUAL, POTÊNCIA 101/104 CV, 2 PORTAS</t>
  </si>
  <si>
    <t>COTAÇÃO</t>
  </si>
  <si>
    <t>Projeto de Fundações</t>
  </si>
  <si>
    <t>H</t>
  </si>
  <si>
    <t xml:space="preserve">Microcomputador + Sistema operacional + Office + No-break </t>
  </si>
  <si>
    <t>MÊS</t>
  </si>
  <si>
    <t>DAER Tabela Supervisão</t>
  </si>
  <si>
    <t>AUTODESK AUTOCAD - 2016 (SIMILAR OU SUPERIOR)</t>
  </si>
  <si>
    <t>ANO</t>
  </si>
  <si>
    <t>SUDECAP</t>
  </si>
  <si>
    <t>93.22.10</t>
  </si>
  <si>
    <t>7.03</t>
  </si>
  <si>
    <t>7.04</t>
  </si>
  <si>
    <t>7.14</t>
  </si>
  <si>
    <t>4.1</t>
  </si>
  <si>
    <t>4.2</t>
  </si>
  <si>
    <t xml:space="preserve">SINAPI </t>
  </si>
  <si>
    <t>CAMINHONETE CABINE SIMPLES COM MOTOR 1.6 FLEX, CÂMBIO MANUAL, POTÊNCIA 101/104 CV, 2 PORTAS - CHP DIURNO</t>
  </si>
  <si>
    <t>CAMINHONETE CABINE SIMPLES COM MOTOR 1.6 FLEX, CÂMBIO MANUAL, POTÊNCIA 101/104 CV, 2 PORTAS - CHI DIURNO</t>
  </si>
  <si>
    <t>UND</t>
  </si>
  <si>
    <t>5.1</t>
  </si>
  <si>
    <t>5.2</t>
  </si>
  <si>
    <t>6.1</t>
  </si>
  <si>
    <t>6.2</t>
  </si>
  <si>
    <t>Estação Total</t>
  </si>
  <si>
    <t>3.2.2</t>
  </si>
  <si>
    <t>Em campo</t>
  </si>
  <si>
    <t>No escritorio</t>
  </si>
  <si>
    <t>Projeto de Climatização e Ventilação Mecânica</t>
  </si>
  <si>
    <t>Projeto Hidrossanitário</t>
  </si>
  <si>
    <t>Total Mensal</t>
  </si>
  <si>
    <t>Total Acumulado</t>
  </si>
  <si>
    <t>1.4</t>
  </si>
  <si>
    <t>1.5</t>
  </si>
  <si>
    <t>CREA RS</t>
  </si>
  <si>
    <t>Projeto Estrutural</t>
  </si>
  <si>
    <t>Cadastro Redes de Abastecimento e de Infraestrutura (DEP/DMAE/PROCEMPA/CEEE)</t>
  </si>
  <si>
    <t>M3</t>
  </si>
  <si>
    <t>Projeto de Estruturas Concreto Armado</t>
  </si>
  <si>
    <t>Projeto de Redes de Água Fria e Esgoto Cloacal</t>
  </si>
  <si>
    <t>Projeto de Sistema Hidraulico de Combate a Incendio</t>
  </si>
  <si>
    <t>Projeto Mecânico</t>
  </si>
  <si>
    <t>Projeto de Redes de Água Pluvial  e Drenagem</t>
  </si>
  <si>
    <t>Projeto Luminotécnico</t>
  </si>
  <si>
    <t>Projeto de Quadro Geral de Baixa Tensão e Centros de Distribuição</t>
  </si>
  <si>
    <t>Projeto de Instalações de Iluminação e Tomadas</t>
  </si>
  <si>
    <t>Projeto de Rede Lógica (Cabeamento Estruturado – Voz e Dados)</t>
  </si>
  <si>
    <t>Projeto de Sistema de Proteção Contra Descargas Atmosféricas (SPDA)</t>
  </si>
  <si>
    <t>Projeto de Entrada Energia</t>
  </si>
  <si>
    <t>Projeto de Automação, Alarme e CFTV</t>
  </si>
  <si>
    <t>Topográfico Planialtimétrico</t>
  </si>
  <si>
    <t>Levantamentos</t>
  </si>
  <si>
    <t>Diretrizes de Regularização e Licenciamento</t>
  </si>
  <si>
    <t>CCU 29</t>
  </si>
  <si>
    <t>TOPOGRAFO COM ENCARGOS COMPLEMENTARES</t>
  </si>
  <si>
    <t>Deslocamento entre furos - sondagem</t>
  </si>
  <si>
    <t>Equipamentos para sondagem a percussão</t>
  </si>
  <si>
    <t>3.4.4</t>
  </si>
  <si>
    <t>Mobilização, Instalação e Desmobilização de equipamento de sondagem</t>
  </si>
  <si>
    <t>3.3</t>
  </si>
  <si>
    <t>Estudo de Viabilidade Urbanística</t>
  </si>
  <si>
    <t>Laudo de Cobertura Vegetal</t>
  </si>
  <si>
    <t>Consulta Potencial Arqueológico</t>
  </si>
  <si>
    <t>90778-2707</t>
  </si>
  <si>
    <t>PREÇO UNITÁRIO</t>
  </si>
  <si>
    <t>4.1.1</t>
  </si>
  <si>
    <t>4.2.1</t>
  </si>
  <si>
    <t>4.3</t>
  </si>
  <si>
    <t>4.3.1</t>
  </si>
  <si>
    <t>4.3.2</t>
  </si>
  <si>
    <t>4.3.3</t>
  </si>
  <si>
    <t>4.4</t>
  </si>
  <si>
    <t>4.4.1</t>
  </si>
  <si>
    <t>CREA RS - jan/2021</t>
  </si>
  <si>
    <t>SECRETARIA MUNICIPAL DE OBRAS E INFRAESTRUTURA</t>
  </si>
  <si>
    <t>Engenheiro Florestal Médio</t>
  </si>
  <si>
    <t>1.33</t>
  </si>
  <si>
    <t>Encargos Complementares (Eng. Florestal)</t>
  </si>
  <si>
    <t>Arqueólogo Médio</t>
  </si>
  <si>
    <t>Encargos Complementares (Arqueólogo)</t>
  </si>
  <si>
    <t>2.3</t>
  </si>
  <si>
    <t>CURVA ABC</t>
  </si>
  <si>
    <t>% SOBRE TOTAL</t>
  </si>
  <si>
    <t>% ACUMULADO</t>
  </si>
  <si>
    <t>CCU 34</t>
  </si>
  <si>
    <t>Projeto de Energia Fotovoltaica</t>
  </si>
  <si>
    <t>Projeto de Estruturas Metálica</t>
  </si>
  <si>
    <t>Perícia e Prescrição Técnica</t>
  </si>
  <si>
    <t>CCU 35</t>
  </si>
  <si>
    <t>DESCRIÇÃO SERVIÇO</t>
  </si>
  <si>
    <t>Levantamento Fisico / Cadastral</t>
  </si>
  <si>
    <t>CCU 18</t>
  </si>
  <si>
    <t>CCU 19</t>
  </si>
  <si>
    <t>CCU 21</t>
  </si>
  <si>
    <t>CCU 22</t>
  </si>
  <si>
    <t>CCU 23</t>
  </si>
  <si>
    <t>CCU 24</t>
  </si>
  <si>
    <t>CCU 25</t>
  </si>
  <si>
    <t>CCU 26</t>
  </si>
  <si>
    <t>CCU 27</t>
  </si>
  <si>
    <t>CCU 28</t>
  </si>
  <si>
    <t>CCU 30</t>
  </si>
  <si>
    <t>CCU 31</t>
  </si>
  <si>
    <t>CCU 32</t>
  </si>
  <si>
    <t>CCU 33</t>
  </si>
  <si>
    <t>Projeto de Elevadores</t>
  </si>
  <si>
    <t>Projeto de Instalações Especiais de Combate à Incêndios</t>
  </si>
  <si>
    <t>4.5</t>
  </si>
  <si>
    <t>4.5.1</t>
  </si>
  <si>
    <t>4.5.2</t>
  </si>
  <si>
    <t>4.5.3</t>
  </si>
  <si>
    <t>4.6</t>
  </si>
  <si>
    <t>4.6.1</t>
  </si>
  <si>
    <t>Administração Local</t>
  </si>
  <si>
    <t>Prospecção de Solo/Sondagem</t>
  </si>
  <si>
    <t>2.4</t>
  </si>
  <si>
    <t>2.5</t>
  </si>
  <si>
    <t>2.6</t>
  </si>
  <si>
    <t>1.</t>
  </si>
  <si>
    <t>Relatorio</t>
  </si>
  <si>
    <t>Sondagem Percussão</t>
  </si>
  <si>
    <t>M</t>
  </si>
  <si>
    <t>CCU 04</t>
  </si>
  <si>
    <t>M2</t>
  </si>
  <si>
    <t>Planialtimétrico</t>
  </si>
  <si>
    <t>CCU 08</t>
  </si>
  <si>
    <t>CCU 17</t>
  </si>
  <si>
    <t>CCU 11</t>
  </si>
  <si>
    <t>Pesquisa de Tipologia, Morfologia e Programa de Necessidades</t>
  </si>
  <si>
    <t>ARQUITETO PLENO COM ENCARGOS COMPLEMENTARES</t>
  </si>
  <si>
    <t>Projeto Arquitetonico</t>
  </si>
  <si>
    <t>Projeto de Arquitetonico</t>
  </si>
  <si>
    <t>Projeto Compatibilização</t>
  </si>
  <si>
    <t>Projeto de Compatibilização</t>
  </si>
  <si>
    <t>CCU 13</t>
  </si>
  <si>
    <t>Projeto Paisagismo e Pavimentação</t>
  </si>
  <si>
    <t>Projeto de Paisagismo</t>
  </si>
  <si>
    <t>Projeto de Pavimentação</t>
  </si>
  <si>
    <t>ENGENHEIRO CIVIL SENIOR COM ENCARGOS COMPLEMENTARES</t>
  </si>
  <si>
    <t>CCU 20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</si>
  <si>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</si>
  <si>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</si>
  <si>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</si>
  <si>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</si>
  <si>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</si>
  <si>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</si>
  <si>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</si>
  <si>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</si>
  <si>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4.7</t>
  </si>
  <si>
    <t>4.7.1</t>
  </si>
  <si>
    <t>4.7.2</t>
  </si>
  <si>
    <t>4.7.3</t>
  </si>
  <si>
    <t>4.8</t>
  </si>
  <si>
    <t>4.8.1</t>
  </si>
  <si>
    <t>4.8.2</t>
  </si>
  <si>
    <t>projeção edif nova + patio</t>
  </si>
  <si>
    <t>%</t>
  </si>
  <si>
    <r>
      <rPr>
        <b/>
        <sz val="11"/>
        <color indexed="8"/>
        <rFont val="Calibri"/>
        <family val="2"/>
      </rPr>
      <t xml:space="preserve">Objeto: </t>
    </r>
    <r>
      <rPr>
        <sz val="11"/>
        <color theme="1"/>
        <rFont val="Calibri"/>
        <family val="2"/>
      </rPr>
      <t>ELABORAÇÃO DE LEVANTAMENTOS, SONDAGENS, INSPEÇÕES, PROJETO ARQUITETONICO E COMPLEMENTARES DA AMPLIAÇÃO DO CENTRO INTEGRADO DE COMANDO</t>
    </r>
  </si>
  <si>
    <t>Dia 30</t>
  </si>
  <si>
    <t>Dia 60</t>
  </si>
  <si>
    <t>Dia 90</t>
  </si>
  <si>
    <t>Dia 120</t>
  </si>
  <si>
    <t>Gerenciamento e Compatibilização</t>
  </si>
  <si>
    <t>Projetos Executivo</t>
  </si>
  <si>
    <t>Orçamento, Cronograma e Planos</t>
  </si>
  <si>
    <t>Planilha Orçamentária, Cronograma Físico-Financeiro e Planos de Obra</t>
  </si>
  <si>
    <t>3 furos; 22m cada</t>
  </si>
  <si>
    <t>ARGAMASSA TRAÇO 1:5 (EM VOLUME DE CIMENTO E AREIA MÉDIA ÚMIDA) PARA CONTRAPISO, PREPARO MANUAL</t>
  </si>
  <si>
    <t>50x50x10cm +20% perdas</t>
  </si>
  <si>
    <t>5.3</t>
  </si>
  <si>
    <t>5.4</t>
  </si>
  <si>
    <t>5.5</t>
  </si>
  <si>
    <t>Abertura e fechamento do pavimento para furo</t>
  </si>
  <si>
    <t>Resol. Tecnica #5, Parte 5, Tabela 2, Anexo A - ate 2.999m²</t>
  </si>
  <si>
    <r>
      <rPr>
        <b/>
        <sz val="11"/>
        <color indexed="8"/>
        <rFont val="Calibri"/>
        <family val="2"/>
      </rPr>
      <t xml:space="preserve">Endereço: </t>
    </r>
    <r>
      <rPr>
        <sz val="11"/>
        <color indexed="8"/>
        <rFont val="Calibri"/>
        <family val="2"/>
      </rPr>
      <t>Rua João Neves da Fontoura, 91, Bairro Azenha, Porto Alegre,</t>
    </r>
    <r>
      <rPr>
        <sz val="11"/>
        <color theme="1"/>
        <rFont val="Calibri"/>
        <family val="2"/>
      </rPr>
      <t xml:space="preserve"> RS</t>
    </r>
  </si>
  <si>
    <t>Projeto Proteção e Combate à Incêndios - PPCI</t>
  </si>
  <si>
    <t>Projeto de Circuito Emergência</t>
  </si>
  <si>
    <t>2.7</t>
  </si>
  <si>
    <t>2.8</t>
  </si>
  <si>
    <t>2.9</t>
  </si>
  <si>
    <t>Estudo Preliminar e Anteprojeto Arquitetônico</t>
  </si>
  <si>
    <t>Licenciamento Predial</t>
  </si>
  <si>
    <t>Estudo Preliminar e de Regularização Legal/Normativa</t>
  </si>
  <si>
    <t>CCU 36</t>
  </si>
  <si>
    <t>CCU 37</t>
  </si>
  <si>
    <t>5% horas tecnicas</t>
  </si>
  <si>
    <t>Porto Alegre, 09 de setembro de 2021</t>
  </si>
  <si>
    <t>SINAPI RS - jul/2021</t>
  </si>
  <si>
    <t>DAER RS - mai/19 - atualizado para jul/21 pelo Índice de Consultoria DNIT por:</t>
  </si>
  <si>
    <t>SUDECAP MG - ago/20 - atualizado para jul/21 pelo Índice de Consultoria DNIT por:</t>
  </si>
  <si>
    <t>SICRO RS - jan/21 - atualizado para jul/21 pelo Índice de Consultoria DNIT por: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</si>
</sst>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_(* #,##0.00_);_(* \(#,##0.00\);_(* \-??_);_(@_)"/>
    <numFmt numFmtId="172" formatCode="0.0"/>
    <numFmt numFmtId="173" formatCode="_-&quot;R$&quot;\ * #,##0.0000_-;\-&quot;R$&quot;\ * #,##0.0000_-;_-&quot;R$&quot;\ * &quot;-&quot;??_-;_-@_-"/>
    <numFmt numFmtId="174" formatCode="_-&quot;R$&quot;\ * #,##0.000_-;\-&quot;R$&quot;\ * #,##0.000_-;_-&quot;R$&quot;\ * &quot;-&quot;??_-;_-@_-"/>
    <numFmt numFmtId="175" formatCode="0.0%"/>
    <numFmt numFmtId="176" formatCode="_-* #,##0.0000_-;\-* #,##0.0000_-;_-* &quot;-&quot;??_-;_-@_-"/>
    <numFmt numFmtId="177" formatCode="_-* #,##0.0000_-;\-* #,##0.0000_-;_-* &quot;-&quot;????_-;_-@_-"/>
    <numFmt numFmtId="178" formatCode="0.0000"/>
    <numFmt numFmtId="179" formatCode="0.000"/>
    <numFmt numFmtId="180" formatCode="0.00000"/>
    <numFmt numFmtId="181" formatCode="0.000000"/>
    <numFmt numFmtId="182" formatCode="#,##0.00_ ;\-#,##0.00\ "/>
    <numFmt numFmtId="183" formatCode="_-* #,##0.0_-;\-* #,##0.0_-;_-* &quot;-&quot;??_-;_-@_-"/>
    <numFmt numFmtId="184" formatCode="_-* #,##0_-;\-* #,##0_-;_-* &quot;-&quot;??_-;_-@_-"/>
    <numFmt numFmtId="185" formatCode="_-&quot;R$&quot;\ * #,##0.0000_-;\-&quot;R$&quot;\ * #,##0.0000_-;_-&quot;R$&quot;\ * &quot;-&quot;????_-;_-@_-"/>
    <numFmt numFmtId="186" formatCode="#,##0.0000_ ;\-#,##0.0000\ "/>
    <numFmt numFmtId="187" formatCode="_-* #,##0.000_-;\-* #,##0.000_-;_-* &quot;-&quot;??_-;_-@_-"/>
    <numFmt numFmtId="188" formatCode="#,##0.0"/>
    <numFmt numFmtId="189" formatCode="_-&quot;R$&quot;\ * #,##0.00000_-;\-&quot;R$&quot;\ * #,##0.00000_-;_-&quot;R$&quot;\ * &quot;-&quot;??_-;_-@_-"/>
    <numFmt numFmtId="190" formatCode="_-&quot;R$&quot;\ * #,##0.000000_-;\-&quot;R$&quot;\ * #,##0.000000_-;_-&quot;R$&quot;\ * &quot;-&quot;??_-;_-@_-"/>
    <numFmt numFmtId="191" formatCode="_-&quot;R$&quot;\ * #,##0.0000000_-;\-&quot;R$&quot;\ * #,##0.0000000_-;_-&quot;R$&quot;\ * &quot;-&quot;??_-;_-@_-"/>
    <numFmt numFmtId="192" formatCode="0.0000000"/>
    <numFmt numFmtId="193" formatCode="#,##0.000"/>
    <numFmt numFmtId="194" formatCode="#,##0.0000"/>
    <numFmt numFmtId="195" formatCode="#,##0_ ;\-#,##0\ "/>
    <numFmt numFmtId="196" formatCode="#,##0.0_ ;\-#,##0.0\ 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171" fontId="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4" fillId="0" borderId="0" xfId="44" applyFont="1" applyBorder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0" xfId="44" applyFont="1" applyBorder="1" applyAlignment="1">
      <alignment vertical="center"/>
      <protection/>
    </xf>
    <xf numFmtId="0" fontId="49" fillId="0" borderId="0" xfId="0" applyFont="1" applyAlignment="1">
      <alignment horizontal="center"/>
    </xf>
    <xf numFmtId="0" fontId="2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2" fontId="4" fillId="33" borderId="12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169" fontId="4" fillId="33" borderId="12" xfId="49" applyFont="1" applyFill="1" applyBorder="1" applyAlignment="1">
      <alignment horizontal="right" vertical="center"/>
    </xf>
    <xf numFmtId="10" fontId="4" fillId="33" borderId="12" xfId="54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10" fontId="4" fillId="34" borderId="10" xfId="54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9" fontId="4" fillId="0" borderId="0" xfId="49" applyFont="1" applyFill="1" applyBorder="1" applyAlignment="1">
      <alignment horizontal="center" vertical="center"/>
    </xf>
    <xf numFmtId="169" fontId="3" fillId="33" borderId="11" xfId="49" applyFont="1" applyFill="1" applyBorder="1" applyAlignment="1">
      <alignment horizontal="left"/>
    </xf>
    <xf numFmtId="0" fontId="7" fillId="34" borderId="13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35" borderId="14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9" fontId="9" fillId="35" borderId="0" xfId="54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9" fontId="10" fillId="35" borderId="13" xfId="54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0" fontId="3" fillId="33" borderId="21" xfId="52" applyFont="1" applyFill="1" applyBorder="1" applyAlignment="1">
      <alignment horizontal="center" vertical="center"/>
      <protection/>
    </xf>
    <xf numFmtId="0" fontId="3" fillId="33" borderId="22" xfId="52" applyFont="1" applyFill="1" applyBorder="1" applyAlignment="1">
      <alignment vertical="center"/>
      <protection/>
    </xf>
    <xf numFmtId="0" fontId="4" fillId="33" borderId="23" xfId="52" applyFont="1" applyFill="1" applyBorder="1" applyAlignment="1">
      <alignment vertical="center"/>
      <protection/>
    </xf>
    <xf numFmtId="0" fontId="4" fillId="33" borderId="23" xfId="52" applyFont="1" applyFill="1" applyBorder="1" applyAlignment="1">
      <alignment horizontal="center" vertical="center"/>
      <protection/>
    </xf>
    <xf numFmtId="0" fontId="4" fillId="33" borderId="24" xfId="52" applyFont="1" applyFill="1" applyBorder="1" applyAlignment="1">
      <alignment vertical="center"/>
      <protection/>
    </xf>
    <xf numFmtId="169" fontId="3" fillId="33" borderId="24" xfId="49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171" fontId="3" fillId="36" borderId="10" xfId="58" applyFont="1" applyFill="1" applyBorder="1" applyAlignment="1">
      <alignment horizontal="center" vertical="center" wrapText="1"/>
    </xf>
    <xf numFmtId="49" fontId="3" fillId="36" borderId="10" xfId="67" applyNumberFormat="1" applyFont="1" applyFill="1" applyBorder="1" applyAlignment="1">
      <alignment horizontal="center" vertical="center" wrapText="1"/>
    </xf>
    <xf numFmtId="171" fontId="3" fillId="37" borderId="10" xfId="58" applyFont="1" applyFill="1" applyBorder="1" applyAlignment="1">
      <alignment horizontal="center" vertical="center" wrapText="1"/>
    </xf>
    <xf numFmtId="49" fontId="3" fillId="36" borderId="11" xfId="67" applyNumberFormat="1" applyFont="1" applyFill="1" applyBorder="1" applyAlignment="1">
      <alignment horizontal="center" vertical="center" wrapText="1"/>
    </xf>
    <xf numFmtId="49" fontId="3" fillId="36" borderId="25" xfId="67" applyNumberFormat="1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26" xfId="52" applyFont="1" applyBorder="1" applyAlignment="1">
      <alignment horizontal="left" vertical="center" wrapText="1"/>
      <protection/>
    </xf>
    <xf numFmtId="0" fontId="4" fillId="0" borderId="27" xfId="49" applyNumberFormat="1" applyFont="1" applyBorder="1" applyAlignment="1">
      <alignment horizontal="left" vertical="center"/>
    </xf>
    <xf numFmtId="0" fontId="4" fillId="0" borderId="26" xfId="52" applyFont="1" applyFill="1" applyBorder="1" applyAlignment="1">
      <alignment horizontal="left" vertical="center" wrapText="1"/>
      <protection/>
    </xf>
    <xf numFmtId="0" fontId="4" fillId="0" borderId="27" xfId="49" applyNumberFormat="1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26" xfId="52" applyFont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78" fontId="4" fillId="0" borderId="10" xfId="52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25" xfId="49" applyNumberFormat="1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4" fillId="0" borderId="24" xfId="52" applyFont="1" applyFill="1" applyBorder="1" applyAlignment="1">
      <alignment vertical="center" wrapText="1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vertical="center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26" xfId="52" applyFont="1" applyFill="1" applyBorder="1" applyAlignment="1">
      <alignment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0" fontId="4" fillId="0" borderId="25" xfId="49" applyNumberFormat="1" applyFont="1" applyBorder="1" applyAlignment="1">
      <alignment horizontal="left" vertical="center"/>
    </xf>
    <xf numFmtId="173" fontId="4" fillId="0" borderId="10" xfId="49" applyNumberFormat="1" applyFont="1" applyFill="1" applyBorder="1" applyAlignment="1">
      <alignment vertical="center"/>
    </xf>
    <xf numFmtId="181" fontId="4" fillId="0" borderId="10" xfId="52" applyNumberFormat="1" applyFont="1" applyFill="1" applyBorder="1" applyAlignment="1">
      <alignment horizontal="center" vertical="center"/>
      <protection/>
    </xf>
    <xf numFmtId="181" fontId="4" fillId="0" borderId="24" xfId="52" applyNumberFormat="1" applyFont="1" applyFill="1" applyBorder="1" applyAlignment="1">
      <alignment horizontal="center" vertical="center"/>
      <protection/>
    </xf>
    <xf numFmtId="173" fontId="4" fillId="0" borderId="10" xfId="49" applyNumberFormat="1" applyFont="1" applyBorder="1" applyAlignment="1">
      <alignment vertical="center"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169" fontId="4" fillId="0" borderId="12" xfId="49" applyFont="1" applyBorder="1" applyAlignment="1">
      <alignment vertical="center"/>
    </xf>
    <xf numFmtId="178" fontId="4" fillId="0" borderId="12" xfId="52" applyNumberFormat="1" applyFont="1" applyFill="1" applyBorder="1" applyAlignment="1">
      <alignment horizontal="center" vertical="center"/>
      <protection/>
    </xf>
    <xf numFmtId="169" fontId="49" fillId="0" borderId="10" xfId="49" applyFont="1" applyBorder="1" applyAlignment="1">
      <alignment vertical="center"/>
    </xf>
    <xf numFmtId="0" fontId="4" fillId="0" borderId="0" xfId="0" applyFont="1" applyAlignment="1">
      <alignment vertical="center"/>
    </xf>
    <xf numFmtId="169" fontId="49" fillId="0" borderId="10" xfId="49" applyFont="1" applyFill="1" applyBorder="1" applyAlignment="1">
      <alignment vertical="center"/>
    </xf>
    <xf numFmtId="9" fontId="4" fillId="0" borderId="10" xfId="52" applyNumberFormat="1" applyFont="1" applyFill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 vertical="center"/>
    </xf>
    <xf numFmtId="3" fontId="3" fillId="38" borderId="11" xfId="44" applyNumberFormat="1" applyFont="1" applyFill="1" applyBorder="1" applyAlignment="1" applyProtection="1">
      <alignment horizontal="left" vertical="center"/>
      <protection/>
    </xf>
    <xf numFmtId="0" fontId="49" fillId="0" borderId="2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4" fontId="4" fillId="0" borderId="0" xfId="44" applyNumberFormat="1" applyFont="1" applyBorder="1" applyAlignment="1">
      <alignment vertical="center"/>
      <protection/>
    </xf>
    <xf numFmtId="2" fontId="4" fillId="0" borderId="0" xfId="44" applyNumberFormat="1" applyFont="1" applyBorder="1" applyAlignment="1">
      <alignment vertical="center"/>
      <protection/>
    </xf>
    <xf numFmtId="9" fontId="51" fillId="0" borderId="28" xfId="44" applyNumberFormat="1" applyFont="1" applyBorder="1" applyAlignment="1">
      <alignment vertical="center"/>
      <protection/>
    </xf>
    <xf numFmtId="2" fontId="5" fillId="0" borderId="0" xfId="44" applyNumberFormat="1" applyFont="1" applyBorder="1" applyAlignment="1">
      <alignment vertical="center"/>
      <protection/>
    </xf>
    <xf numFmtId="0" fontId="5" fillId="0" borderId="29" xfId="44" applyFont="1" applyBorder="1" applyAlignment="1">
      <alignment vertical="center"/>
      <protection/>
    </xf>
    <xf numFmtId="10" fontId="5" fillId="0" borderId="29" xfId="54" applyNumberFormat="1" applyFont="1" applyBorder="1" applyAlignment="1">
      <alignment vertical="center"/>
    </xf>
    <xf numFmtId="4" fontId="5" fillId="0" borderId="0" xfId="44" applyNumberFormat="1" applyFont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3" fontId="4" fillId="37" borderId="10" xfId="0" applyNumberFormat="1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/>
    </xf>
    <xf numFmtId="0" fontId="4" fillId="37" borderId="12" xfId="0" applyFont="1" applyFill="1" applyBorder="1" applyAlignment="1">
      <alignment horizontal="left" vertical="center"/>
    </xf>
    <xf numFmtId="0" fontId="49" fillId="37" borderId="11" xfId="0" applyFont="1" applyFill="1" applyBorder="1" applyAlignment="1">
      <alignment vertical="center" wrapText="1"/>
    </xf>
    <xf numFmtId="0" fontId="49" fillId="37" borderId="12" xfId="0" applyFont="1" applyFill="1" applyBorder="1" applyAlignment="1">
      <alignment horizontal="center" vertical="center"/>
    </xf>
    <xf numFmtId="169" fontId="49" fillId="37" borderId="12" xfId="49" applyFont="1" applyFill="1" applyBorder="1" applyAlignment="1">
      <alignment vertical="center"/>
    </xf>
    <xf numFmtId="169" fontId="4" fillId="37" borderId="12" xfId="49" applyFont="1" applyFill="1" applyBorder="1" applyAlignment="1">
      <alignment vertical="center"/>
    </xf>
    <xf numFmtId="10" fontId="4" fillId="37" borderId="12" xfId="54" applyNumberFormat="1" applyFont="1" applyFill="1" applyBorder="1" applyAlignment="1">
      <alignment vertical="center"/>
    </xf>
    <xf numFmtId="169" fontId="4" fillId="37" borderId="25" xfId="49" applyFont="1" applyFill="1" applyBorder="1" applyAlignment="1">
      <alignment vertical="center"/>
    </xf>
    <xf numFmtId="169" fontId="4" fillId="34" borderId="10" xfId="49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0" xfId="52" applyFont="1" applyFill="1" applyBorder="1" applyAlignment="1">
      <alignment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9" fontId="4" fillId="33" borderId="31" xfId="52" applyNumberFormat="1" applyFont="1" applyFill="1" applyBorder="1" applyAlignment="1">
      <alignment horizontal="center" vertical="center"/>
      <protection/>
    </xf>
    <xf numFmtId="169" fontId="3" fillId="33" borderId="31" xfId="49" applyNumberFormat="1" applyFont="1" applyFill="1" applyBorder="1" applyAlignment="1">
      <alignment/>
    </xf>
    <xf numFmtId="0" fontId="4" fillId="0" borderId="22" xfId="44" applyFont="1" applyFill="1" applyBorder="1" applyAlignment="1">
      <alignment horizontal="left" vertical="center"/>
      <protection/>
    </xf>
    <xf numFmtId="0" fontId="4" fillId="0" borderId="30" xfId="44" applyFont="1" applyBorder="1" applyAlignment="1">
      <alignment horizontal="left" vertical="center"/>
      <protection/>
    </xf>
    <xf numFmtId="0" fontId="3" fillId="39" borderId="31" xfId="0" applyFont="1" applyFill="1" applyBorder="1" applyAlignment="1">
      <alignment horizontal="center" vertical="center"/>
    </xf>
    <xf numFmtId="0" fontId="3" fillId="39" borderId="24" xfId="0" applyFont="1" applyFill="1" applyBorder="1" applyAlignment="1">
      <alignment horizontal="center" vertical="center"/>
    </xf>
    <xf numFmtId="1" fontId="3" fillId="39" borderId="30" xfId="0" applyNumberFormat="1" applyFont="1" applyFill="1" applyBorder="1" applyAlignment="1">
      <alignment horizontal="center" vertical="center" wrapText="1"/>
    </xf>
    <xf numFmtId="1" fontId="3" fillId="39" borderId="29" xfId="0" applyNumberFormat="1" applyFont="1" applyFill="1" applyBorder="1" applyAlignment="1">
      <alignment horizontal="center" vertical="center" wrapText="1"/>
    </xf>
    <xf numFmtId="4" fontId="3" fillId="39" borderId="24" xfId="0" applyNumberFormat="1" applyFont="1" applyFill="1" applyBorder="1" applyAlignment="1">
      <alignment horizontal="center" vertical="center" wrapText="1"/>
    </xf>
    <xf numFmtId="4" fontId="3" fillId="39" borderId="31" xfId="0" applyNumberFormat="1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4" fontId="3" fillId="41" borderId="32" xfId="44" applyNumberFormat="1" applyFont="1" applyFill="1" applyBorder="1" applyAlignment="1">
      <alignment horizontal="center" vertical="center" wrapText="1"/>
      <protection/>
    </xf>
    <xf numFmtId="169" fontId="5" fillId="0" borderId="0" xfId="44" applyNumberFormat="1" applyFont="1" applyAlignment="1">
      <alignment vertical="center"/>
      <protection/>
    </xf>
    <xf numFmtId="179" fontId="4" fillId="0" borderId="10" xfId="52" applyNumberFormat="1" applyFont="1" applyFill="1" applyBorder="1" applyAlignment="1">
      <alignment horizontal="center" vertical="center"/>
      <protection/>
    </xf>
    <xf numFmtId="169" fontId="4" fillId="37" borderId="26" xfId="49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3" fontId="4" fillId="37" borderId="11" xfId="44" applyNumberFormat="1" applyFont="1" applyFill="1" applyBorder="1" applyAlignment="1" applyProtection="1">
      <alignment horizontal="left" vertical="center" wrapText="1"/>
      <protection/>
    </xf>
    <xf numFmtId="3" fontId="3" fillId="37" borderId="12" xfId="44" applyNumberFormat="1" applyFont="1" applyFill="1" applyBorder="1" applyAlignment="1" applyProtection="1">
      <alignment horizontal="left" vertical="center" wrapText="1"/>
      <protection/>
    </xf>
    <xf numFmtId="169" fontId="3" fillId="37" borderId="12" xfId="49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49" fillId="0" borderId="10" xfId="0" applyNumberFormat="1" applyFont="1" applyBorder="1" applyAlignment="1">
      <alignment horizontal="left" vertical="center"/>
    </xf>
    <xf numFmtId="0" fontId="49" fillId="42" borderId="11" xfId="0" applyFont="1" applyFill="1" applyBorder="1" applyAlignment="1">
      <alignment vertical="center" wrapText="1"/>
    </xf>
    <xf numFmtId="169" fontId="0" fillId="42" borderId="33" xfId="0" applyNumberFormat="1" applyFont="1" applyFill="1" applyBorder="1" applyAlignment="1">
      <alignment vertical="center" wrapText="1"/>
    </xf>
    <xf numFmtId="169" fontId="0" fillId="0" borderId="10" xfId="49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8" fontId="4" fillId="0" borderId="10" xfId="52" applyNumberFormat="1" applyFont="1" applyBorder="1" applyAlignment="1">
      <alignment horizontal="center" vertical="center"/>
      <protection/>
    </xf>
    <xf numFmtId="169" fontId="4" fillId="33" borderId="12" xfId="49" applyFont="1" applyFill="1" applyBorder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10" fontId="5" fillId="0" borderId="27" xfId="54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30" fillId="0" borderId="0" xfId="0" applyFont="1" applyAlignment="1">
      <alignment/>
    </xf>
    <xf numFmtId="169" fontId="3" fillId="33" borderId="10" xfId="49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4" fillId="0" borderId="30" xfId="44" applyFont="1" applyFill="1" applyBorder="1" applyAlignment="1">
      <alignment horizontal="left" vertical="center"/>
      <protection/>
    </xf>
    <xf numFmtId="9" fontId="9" fillId="35" borderId="17" xfId="54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/>
    </xf>
    <xf numFmtId="10" fontId="5" fillId="0" borderId="10" xfId="54" applyNumberFormat="1" applyFont="1" applyBorder="1" applyAlignment="1">
      <alignment vertical="center"/>
    </xf>
    <xf numFmtId="10" fontId="5" fillId="0" borderId="10" xfId="49" applyNumberFormat="1" applyFont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9" fontId="9" fillId="35" borderId="18" xfId="54" applyFont="1" applyFill="1" applyBorder="1" applyAlignment="1">
      <alignment horizontal="center" vertical="center" wrapText="1"/>
    </xf>
    <xf numFmtId="173" fontId="4" fillId="0" borderId="10" xfId="49" applyNumberFormat="1" applyFont="1" applyFill="1" applyBorder="1" applyAlignment="1">
      <alignment horizontal="right" vertical="center"/>
    </xf>
    <xf numFmtId="178" fontId="4" fillId="0" borderId="24" xfId="52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18" xfId="0" applyFill="1" applyBorder="1" applyAlignment="1">
      <alignment vertical="top" wrapText="1"/>
    </xf>
    <xf numFmtId="4" fontId="0" fillId="37" borderId="25" xfId="49" applyNumberFormat="1" applyFont="1" applyFill="1" applyBorder="1" applyAlignment="1">
      <alignment horizontal="right" vertical="center"/>
    </xf>
    <xf numFmtId="169" fontId="4" fillId="33" borderId="25" xfId="49" applyFont="1" applyFill="1" applyBorder="1" applyAlignment="1">
      <alignment vertical="center"/>
    </xf>
    <xf numFmtId="169" fontId="4" fillId="37" borderId="27" xfId="49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37" borderId="10" xfId="49" applyNumberFormat="1" applyFont="1" applyFill="1" applyBorder="1" applyAlignment="1">
      <alignment horizontal="right" vertical="center"/>
    </xf>
    <xf numFmtId="10" fontId="49" fillId="0" borderId="10" xfId="49" applyNumberFormat="1" applyFont="1" applyFill="1" applyBorder="1" applyAlignment="1">
      <alignment vertical="center"/>
    </xf>
    <xf numFmtId="169" fontId="49" fillId="0" borderId="10" xfId="49" applyFont="1" applyBorder="1" applyAlignment="1">
      <alignment horizontal="right" vertical="center"/>
    </xf>
    <xf numFmtId="169" fontId="0" fillId="33" borderId="10" xfId="49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3" xfId="44" applyFont="1" applyBorder="1" applyAlignment="1">
      <alignment horizontal="left" vertical="center" wrapText="1"/>
      <protection/>
    </xf>
    <xf numFmtId="0" fontId="4" fillId="0" borderId="30" xfId="44" applyFont="1" applyBorder="1" applyAlignment="1">
      <alignment horizontal="left" vertical="center" wrapText="1"/>
      <protection/>
    </xf>
    <xf numFmtId="173" fontId="4" fillId="0" borderId="24" xfId="49" applyNumberFormat="1" applyFont="1" applyFill="1" applyBorder="1" applyAlignment="1">
      <alignment vertical="center"/>
    </xf>
    <xf numFmtId="0" fontId="4" fillId="0" borderId="24" xfId="52" applyFont="1" applyBorder="1" applyAlignment="1">
      <alignment horizontal="center" vertical="center"/>
      <protection/>
    </xf>
    <xf numFmtId="173" fontId="4" fillId="0" borderId="24" xfId="49" applyNumberFormat="1" applyFont="1" applyBorder="1" applyAlignment="1">
      <alignment vertical="center"/>
    </xf>
    <xf numFmtId="0" fontId="4" fillId="43" borderId="10" xfId="52" applyFont="1" applyFill="1" applyBorder="1" applyAlignment="1">
      <alignment horizontal="center" vertical="center"/>
      <protection/>
    </xf>
    <xf numFmtId="0" fontId="4" fillId="43" borderId="10" xfId="0" applyFont="1" applyFill="1" applyBorder="1" applyAlignment="1">
      <alignment vertical="center"/>
    </xf>
    <xf numFmtId="0" fontId="4" fillId="43" borderId="10" xfId="52" applyFont="1" applyFill="1" applyBorder="1" applyAlignment="1">
      <alignment horizontal="center" vertical="center" wrapText="1"/>
      <protection/>
    </xf>
    <xf numFmtId="178" fontId="4" fillId="43" borderId="10" xfId="52" applyNumberFormat="1" applyFont="1" applyFill="1" applyBorder="1" applyAlignment="1">
      <alignment horizontal="center" vertical="center" wrapText="1"/>
      <protection/>
    </xf>
    <xf numFmtId="0" fontId="4" fillId="43" borderId="10" xfId="52" applyFont="1" applyFill="1" applyBorder="1" applyAlignment="1">
      <alignment vertical="center" wrapText="1"/>
      <protection/>
    </xf>
    <xf numFmtId="173" fontId="4" fillId="43" borderId="10" xfId="49" applyNumberFormat="1" applyFont="1" applyFill="1" applyBorder="1" applyAlignment="1">
      <alignment vertical="center" wrapText="1"/>
    </xf>
    <xf numFmtId="0" fontId="4" fillId="43" borderId="11" xfId="52" applyFont="1" applyFill="1" applyBorder="1" applyAlignment="1">
      <alignment horizontal="center" vertical="center" wrapText="1"/>
      <protection/>
    </xf>
    <xf numFmtId="9" fontId="4" fillId="43" borderId="25" xfId="52" applyNumberFormat="1" applyFont="1" applyFill="1" applyBorder="1" applyAlignment="1">
      <alignment horizontal="center" vertical="center"/>
      <protection/>
    </xf>
    <xf numFmtId="173" fontId="4" fillId="43" borderId="10" xfId="49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2" fillId="0" borderId="0" xfId="52" applyFont="1" applyBorder="1">
      <alignment/>
      <protection/>
    </xf>
    <xf numFmtId="0" fontId="30" fillId="0" borderId="0" xfId="0" applyFont="1" applyAlignment="1">
      <alignment wrapText="1"/>
    </xf>
    <xf numFmtId="0" fontId="4" fillId="0" borderId="1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9" fontId="0" fillId="0" borderId="10" xfId="54" applyFont="1" applyFill="1" applyBorder="1" applyAlignment="1">
      <alignment horizontal="center" vertical="center"/>
    </xf>
    <xf numFmtId="10" fontId="0" fillId="0" borderId="10" xfId="54" applyNumberFormat="1" applyFont="1" applyFill="1" applyBorder="1" applyAlignment="1">
      <alignment horizontal="center" vertical="center"/>
    </xf>
    <xf numFmtId="9" fontId="0" fillId="37" borderId="10" xfId="54" applyFont="1" applyFill="1" applyBorder="1" applyAlignment="1">
      <alignment horizontal="right" vertical="center"/>
    </xf>
    <xf numFmtId="9" fontId="3" fillId="37" borderId="25" xfId="54" applyFont="1" applyFill="1" applyBorder="1" applyAlignment="1">
      <alignment horizontal="center" vertical="center"/>
    </xf>
    <xf numFmtId="169" fontId="0" fillId="0" borderId="10" xfId="49" applyFont="1" applyFill="1" applyBorder="1" applyAlignment="1">
      <alignment horizontal="center" vertical="center"/>
    </xf>
    <xf numFmtId="3" fontId="49" fillId="37" borderId="10" xfId="0" applyNumberFormat="1" applyFont="1" applyFill="1" applyBorder="1" applyAlignment="1">
      <alignment horizontal="left" vertical="center"/>
    </xf>
    <xf numFmtId="0" fontId="49" fillId="36" borderId="11" xfId="0" applyFont="1" applyFill="1" applyBorder="1" applyAlignment="1">
      <alignment vertical="center" wrapText="1"/>
    </xf>
    <xf numFmtId="169" fontId="0" fillId="36" borderId="33" xfId="0" applyNumberFormat="1" applyFont="1" applyFill="1" applyBorder="1" applyAlignment="1">
      <alignment vertical="center" wrapText="1"/>
    </xf>
    <xf numFmtId="169" fontId="0" fillId="37" borderId="10" xfId="49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9" fillId="37" borderId="12" xfId="0" applyNumberFormat="1" applyFont="1" applyFill="1" applyBorder="1" applyAlignment="1">
      <alignment horizontal="center" vertical="center"/>
    </xf>
    <xf numFmtId="4" fontId="49" fillId="37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10" fontId="3" fillId="33" borderId="11" xfId="54" applyNumberFormat="1" applyFont="1" applyFill="1" applyBorder="1" applyAlignment="1">
      <alignment horizontal="right" vertical="center"/>
    </xf>
    <xf numFmtId="10" fontId="3" fillId="33" borderId="25" xfId="54" applyNumberFormat="1" applyFont="1" applyFill="1" applyBorder="1" applyAlignment="1">
      <alignment horizontal="right" vertical="center"/>
    </xf>
    <xf numFmtId="169" fontId="3" fillId="33" borderId="10" xfId="49" applyFont="1" applyFill="1" applyBorder="1" applyAlignment="1">
      <alignment horizontal="center" vertical="center"/>
    </xf>
    <xf numFmtId="3" fontId="4" fillId="38" borderId="34" xfId="44" applyNumberFormat="1" applyFont="1" applyFill="1" applyBorder="1" applyAlignment="1" applyProtection="1">
      <alignment horizontal="center" vertical="center" wrapText="1"/>
      <protection/>
    </xf>
    <xf numFmtId="3" fontId="4" fillId="38" borderId="27" xfId="44" applyNumberFormat="1" applyFont="1" applyFill="1" applyBorder="1" applyAlignment="1" applyProtection="1">
      <alignment horizontal="center" vertical="center" wrapText="1"/>
      <protection/>
    </xf>
    <xf numFmtId="3" fontId="4" fillId="38" borderId="35" xfId="44" applyNumberFormat="1" applyFont="1" applyFill="1" applyBorder="1" applyAlignment="1" applyProtection="1">
      <alignment horizontal="center" vertical="center" wrapText="1"/>
      <protection/>
    </xf>
    <xf numFmtId="3" fontId="4" fillId="38" borderId="24" xfId="44" applyNumberFormat="1" applyFont="1" applyFill="1" applyBorder="1" applyAlignment="1" applyProtection="1">
      <alignment horizontal="center" vertical="center" wrapText="1"/>
      <protection/>
    </xf>
    <xf numFmtId="169" fontId="4" fillId="38" borderId="34" xfId="49" applyFont="1" applyFill="1" applyBorder="1" applyAlignment="1" applyProtection="1">
      <alignment horizontal="center" vertical="center" wrapText="1"/>
      <protection/>
    </xf>
    <xf numFmtId="169" fontId="4" fillId="38" borderId="27" xfId="49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169" fontId="3" fillId="33" borderId="11" xfId="49" applyFont="1" applyFill="1" applyBorder="1" applyAlignment="1">
      <alignment horizontal="center" vertical="center"/>
    </xf>
    <xf numFmtId="169" fontId="3" fillId="33" borderId="25" xfId="49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 [0]" xfId="57"/>
    <cellStyle name="Separador de milhares 3_PEDRO BOÉSSIO ORÇAMENTO - CAIXA - REV 01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70" zoomScaleNormal="70" zoomScalePageLayoutView="0" workbookViewId="0" topLeftCell="A32">
      <selection activeCell="M59" sqref="M59"/>
    </sheetView>
  </sheetViews>
  <sheetFormatPr defaultColWidth="9.140625" defaultRowHeight="15"/>
  <cols>
    <col min="1" max="1" width="8.57421875" style="0" bestFit="1" customWidth="1"/>
    <col min="2" max="2" width="15.8515625" style="0" customWidth="1"/>
    <col min="3" max="3" width="11.00390625" style="9" bestFit="1" customWidth="1"/>
    <col min="4" max="4" width="87.28125" style="0" customWidth="1"/>
    <col min="5" max="5" width="10.7109375" style="0" bestFit="1" customWidth="1"/>
    <col min="6" max="6" width="8.140625" style="9" bestFit="1" customWidth="1"/>
    <col min="7" max="7" width="22.00390625" style="9" bestFit="1" customWidth="1"/>
    <col min="8" max="8" width="11.00390625" style="0" customWidth="1"/>
    <col min="9" max="9" width="21.140625" style="0" customWidth="1"/>
    <col min="10" max="10" width="22.57421875" style="0" customWidth="1"/>
  </cols>
  <sheetData>
    <row r="1" spans="1:10" s="26" customFormat="1" ht="19.5" customHeight="1" thickBot="1">
      <c r="A1" s="25"/>
      <c r="B1" s="25"/>
      <c r="C1" s="25" t="s">
        <v>65</v>
      </c>
      <c r="D1" s="25"/>
      <c r="E1" s="25"/>
      <c r="F1" s="25"/>
      <c r="G1" s="25"/>
      <c r="H1" s="25"/>
      <c r="I1" s="25"/>
      <c r="J1" s="25"/>
    </row>
    <row r="2" spans="1:10" s="26" customFormat="1" ht="18.75">
      <c r="A2" s="27"/>
      <c r="B2" s="28"/>
      <c r="C2" s="28" t="s">
        <v>148</v>
      </c>
      <c r="D2" s="28"/>
      <c r="E2" s="28"/>
      <c r="F2" s="28"/>
      <c r="G2" s="28"/>
      <c r="H2" s="28"/>
      <c r="I2" s="28"/>
      <c r="J2" s="29"/>
    </row>
    <row r="3" spans="1:10" s="26" customFormat="1" ht="15">
      <c r="A3" s="30"/>
      <c r="B3" s="31"/>
      <c r="C3" s="164" t="s">
        <v>231</v>
      </c>
      <c r="D3" s="159"/>
      <c r="E3" s="159"/>
      <c r="F3" s="159"/>
      <c r="G3" s="159"/>
      <c r="H3" s="159"/>
      <c r="I3" s="159"/>
      <c r="J3" s="165"/>
    </row>
    <row r="4" spans="1:10" s="26" customFormat="1" ht="15">
      <c r="A4" s="30"/>
      <c r="B4" s="31"/>
      <c r="C4" s="32" t="s">
        <v>248</v>
      </c>
      <c r="D4" s="33"/>
      <c r="E4" s="33"/>
      <c r="F4" s="33"/>
      <c r="G4" s="33"/>
      <c r="H4" s="33"/>
      <c r="I4" s="33"/>
      <c r="J4" s="34"/>
    </row>
    <row r="5" spans="1:10" s="26" customFormat="1" ht="14.25">
      <c r="A5" s="30"/>
      <c r="B5" s="31"/>
      <c r="C5" s="31"/>
      <c r="D5" s="31"/>
      <c r="E5" s="33"/>
      <c r="F5" s="31"/>
      <c r="G5" s="33"/>
      <c r="H5" s="31"/>
      <c r="I5" s="33"/>
      <c r="J5" s="34"/>
    </row>
    <row r="6" spans="1:10" s="26" customFormat="1" ht="18">
      <c r="A6" s="30"/>
      <c r="B6" s="35"/>
      <c r="C6" s="35"/>
      <c r="D6" s="36" t="s">
        <v>0</v>
      </c>
      <c r="E6" s="35"/>
      <c r="F6" s="35"/>
      <c r="G6" s="35"/>
      <c r="H6" s="35"/>
      <c r="I6" s="35"/>
      <c r="J6" s="37"/>
    </row>
    <row r="7" spans="1:10" s="26" customFormat="1" ht="18.75" thickBot="1">
      <c r="A7" s="38"/>
      <c r="B7" s="39"/>
      <c r="C7" s="39"/>
      <c r="D7" s="39"/>
      <c r="E7" s="40"/>
      <c r="F7" s="39"/>
      <c r="G7" s="40"/>
      <c r="H7" s="39"/>
      <c r="I7" s="40"/>
      <c r="J7" s="41"/>
    </row>
    <row r="8" spans="1:10" s="70" customFormat="1" ht="19.5" customHeight="1">
      <c r="A8" s="120" t="s">
        <v>1</v>
      </c>
      <c r="B8" s="122" t="s">
        <v>63</v>
      </c>
      <c r="C8" s="123" t="s">
        <v>64</v>
      </c>
      <c r="D8" s="120" t="s">
        <v>2</v>
      </c>
      <c r="E8" s="126" t="s">
        <v>31</v>
      </c>
      <c r="F8" s="121" t="s">
        <v>3</v>
      </c>
      <c r="G8" s="127" t="s">
        <v>4</v>
      </c>
      <c r="H8" s="124" t="s">
        <v>5</v>
      </c>
      <c r="I8" s="124" t="s">
        <v>138</v>
      </c>
      <c r="J8" s="125" t="s">
        <v>6</v>
      </c>
    </row>
    <row r="9" spans="1:10" s="102" customFormat="1" ht="15">
      <c r="A9" s="11">
        <v>1</v>
      </c>
      <c r="B9" s="12"/>
      <c r="C9" s="64"/>
      <c r="D9" s="92" t="s">
        <v>187</v>
      </c>
      <c r="E9" s="13"/>
      <c r="F9" s="14"/>
      <c r="G9" s="15"/>
      <c r="H9" s="16"/>
      <c r="I9" s="146"/>
      <c r="J9" s="167"/>
    </row>
    <row r="10" spans="1:10" s="88" customFormat="1" ht="14.25">
      <c r="A10" s="17" t="s">
        <v>7</v>
      </c>
      <c r="B10" s="18" t="s">
        <v>66</v>
      </c>
      <c r="C10" s="63" t="s">
        <v>8</v>
      </c>
      <c r="D10" s="147" t="s">
        <v>236</v>
      </c>
      <c r="E10" s="207">
        <v>1</v>
      </c>
      <c r="F10" s="91" t="s">
        <v>10</v>
      </c>
      <c r="G10" s="89">
        <f>Composicoes!I9</f>
        <v>6290.84</v>
      </c>
      <c r="H10" s="19">
        <v>0.1538</v>
      </c>
      <c r="I10" s="112">
        <f>TRUNC(G10*(1+H10),2)</f>
        <v>7258.37</v>
      </c>
      <c r="J10" s="112">
        <f>TRUNC(E10*I10,2)</f>
        <v>7258.37</v>
      </c>
    </row>
    <row r="11" spans="1:10" s="88" customFormat="1" ht="14.25">
      <c r="A11" s="17" t="s">
        <v>9</v>
      </c>
      <c r="B11" s="18" t="s">
        <v>75</v>
      </c>
      <c r="C11" s="63" t="s">
        <v>108</v>
      </c>
      <c r="D11" s="147" t="s">
        <v>47</v>
      </c>
      <c r="E11" s="207">
        <v>5</v>
      </c>
      <c r="F11" s="91" t="s">
        <v>10</v>
      </c>
      <c r="G11" s="89">
        <v>233.94</v>
      </c>
      <c r="H11" s="19">
        <v>0.1538</v>
      </c>
      <c r="I11" s="112">
        <f>TRUNC(G11*(1+H11),2)</f>
        <v>269.91</v>
      </c>
      <c r="J11" s="112">
        <f>TRUNC(E11*I11,2)</f>
        <v>1349.55</v>
      </c>
    </row>
    <row r="12" spans="1:12" s="102" customFormat="1" ht="15">
      <c r="A12" s="11">
        <v>2</v>
      </c>
      <c r="B12" s="12"/>
      <c r="C12" s="64"/>
      <c r="D12" s="92" t="s">
        <v>125</v>
      </c>
      <c r="E12" s="208"/>
      <c r="F12" s="14"/>
      <c r="G12" s="15"/>
      <c r="H12" s="16"/>
      <c r="I12" s="146"/>
      <c r="J12" s="167"/>
      <c r="K12" s="88"/>
      <c r="L12" s="88"/>
    </row>
    <row r="13" spans="1:10" s="88" customFormat="1" ht="14.25">
      <c r="A13" s="17" t="s">
        <v>11</v>
      </c>
      <c r="B13" s="18" t="s">
        <v>66</v>
      </c>
      <c r="C13" s="63" t="s">
        <v>12</v>
      </c>
      <c r="D13" s="147" t="s">
        <v>188</v>
      </c>
      <c r="E13" s="207">
        <v>1</v>
      </c>
      <c r="F13" s="91" t="s">
        <v>10</v>
      </c>
      <c r="G13" s="89">
        <f>Composicoes!I15</f>
        <v>6776.04</v>
      </c>
      <c r="H13" s="19">
        <v>0.1538</v>
      </c>
      <c r="I13" s="112">
        <f aca="true" t="shared" si="0" ref="I13:I18">TRUNC(G13*(1+H13),2)</f>
        <v>7818.19</v>
      </c>
      <c r="J13" s="112">
        <f>TRUNC(E13*I13,2)</f>
        <v>7818.19</v>
      </c>
    </row>
    <row r="14" spans="1:10" s="88" customFormat="1" ht="14.25">
      <c r="A14" s="17" t="s">
        <v>13</v>
      </c>
      <c r="B14" s="18" t="s">
        <v>66</v>
      </c>
      <c r="C14" s="63" t="s">
        <v>14</v>
      </c>
      <c r="D14" s="93" t="s">
        <v>124</v>
      </c>
      <c r="E14" s="207">
        <v>1</v>
      </c>
      <c r="F14" s="91" t="s">
        <v>10</v>
      </c>
      <c r="G14" s="89">
        <f>Composicoes!I45</f>
        <v>550.16</v>
      </c>
      <c r="H14" s="19">
        <v>0.1538</v>
      </c>
      <c r="I14" s="112">
        <f t="shared" si="0"/>
        <v>634.77</v>
      </c>
      <c r="J14" s="112">
        <f>TRUNC(E14*I14,2)</f>
        <v>634.77</v>
      </c>
    </row>
    <row r="15" spans="1:10" s="88" customFormat="1" ht="14.25">
      <c r="A15" s="17" t="s">
        <v>154</v>
      </c>
      <c r="B15" s="18" t="s">
        <v>66</v>
      </c>
      <c r="C15" s="63" t="s">
        <v>196</v>
      </c>
      <c r="D15" s="93" t="s">
        <v>164</v>
      </c>
      <c r="E15" s="207">
        <v>1</v>
      </c>
      <c r="F15" s="91" t="s">
        <v>10</v>
      </c>
      <c r="G15" s="87">
        <f>Composicoes!I63</f>
        <v>2386.36</v>
      </c>
      <c r="H15" s="19">
        <v>0.1538</v>
      </c>
      <c r="I15" s="112">
        <f t="shared" si="0"/>
        <v>2753.38</v>
      </c>
      <c r="J15" s="112">
        <f>TRUNC(E15*I15,2)</f>
        <v>2753.38</v>
      </c>
    </row>
    <row r="16" spans="1:10" s="88" customFormat="1" ht="14.25">
      <c r="A16" s="17" t="s">
        <v>189</v>
      </c>
      <c r="B16" s="18" t="s">
        <v>66</v>
      </c>
      <c r="C16" s="63" t="s">
        <v>15</v>
      </c>
      <c r="D16" s="93" t="s">
        <v>161</v>
      </c>
      <c r="E16" s="209">
        <v>1</v>
      </c>
      <c r="F16" s="189" t="s">
        <v>10</v>
      </c>
      <c r="G16" s="89">
        <f>Composicoes!I74</f>
        <v>3848.01</v>
      </c>
      <c r="H16" s="19">
        <v>0.1538</v>
      </c>
      <c r="I16" s="112">
        <f t="shared" si="0"/>
        <v>4439.83</v>
      </c>
      <c r="J16" s="112">
        <f>TRUNC(E16*I16,2)</f>
        <v>4439.83</v>
      </c>
    </row>
    <row r="17" spans="1:10" s="88" customFormat="1" ht="14.25">
      <c r="A17" s="17" t="s">
        <v>190</v>
      </c>
      <c r="B17" s="18" t="s">
        <v>66</v>
      </c>
      <c r="C17" s="63" t="s">
        <v>17</v>
      </c>
      <c r="D17" s="93" t="s">
        <v>126</v>
      </c>
      <c r="E17" s="207">
        <v>1</v>
      </c>
      <c r="F17" s="91" t="s">
        <v>10</v>
      </c>
      <c r="G17" s="89">
        <f>Composicoes!I85</f>
        <v>2097.54</v>
      </c>
      <c r="H17" s="19">
        <v>0.1538</v>
      </c>
      <c r="I17" s="112">
        <f t="shared" si="0"/>
        <v>2420.14</v>
      </c>
      <c r="J17" s="112">
        <f aca="true" t="shared" si="1" ref="J17:J25">TRUNC(E17*I17,2)</f>
        <v>2420.14</v>
      </c>
    </row>
    <row r="18" spans="1:10" s="88" customFormat="1" ht="14.25" customHeight="1">
      <c r="A18" s="17" t="s">
        <v>191</v>
      </c>
      <c r="B18" s="18" t="s">
        <v>66</v>
      </c>
      <c r="C18" s="63" t="s">
        <v>18</v>
      </c>
      <c r="D18" s="93" t="s">
        <v>110</v>
      </c>
      <c r="E18" s="207">
        <v>1</v>
      </c>
      <c r="F18" s="91" t="s">
        <v>10</v>
      </c>
      <c r="G18" s="87">
        <f>Composicoes!I93</f>
        <v>2057.2</v>
      </c>
      <c r="H18" s="19">
        <v>0.1538</v>
      </c>
      <c r="I18" s="112">
        <f t="shared" si="0"/>
        <v>2373.59</v>
      </c>
      <c r="J18" s="112">
        <f t="shared" si="1"/>
        <v>2373.59</v>
      </c>
    </row>
    <row r="19" spans="1:10" s="88" customFormat="1" ht="14.25">
      <c r="A19" s="17" t="s">
        <v>251</v>
      </c>
      <c r="B19" s="18" t="s">
        <v>66</v>
      </c>
      <c r="C19" s="63" t="s">
        <v>199</v>
      </c>
      <c r="D19" s="93" t="s">
        <v>135</v>
      </c>
      <c r="E19" s="207">
        <v>1</v>
      </c>
      <c r="F19" s="91" t="s">
        <v>10</v>
      </c>
      <c r="G19" s="89">
        <f>Composicoes!I105</f>
        <v>1992.48</v>
      </c>
      <c r="H19" s="19">
        <v>0.1538</v>
      </c>
      <c r="I19" s="112">
        <f>TRUNC(G19*(1+H19),2)</f>
        <v>2298.92</v>
      </c>
      <c r="J19" s="112">
        <f>TRUNC(E19*I19,2)</f>
        <v>2298.92</v>
      </c>
    </row>
    <row r="20" spans="1:10" s="88" customFormat="1" ht="14.25">
      <c r="A20" s="17" t="s">
        <v>252</v>
      </c>
      <c r="B20" s="18" t="s">
        <v>66</v>
      </c>
      <c r="C20" s="63" t="s">
        <v>19</v>
      </c>
      <c r="D20" s="93" t="s">
        <v>136</v>
      </c>
      <c r="E20" s="207">
        <v>1</v>
      </c>
      <c r="F20" s="91" t="s">
        <v>10</v>
      </c>
      <c r="G20" s="89">
        <f>Composicoes!I114</f>
        <v>1321.63</v>
      </c>
      <c r="H20" s="19">
        <v>0.1538</v>
      </c>
      <c r="I20" s="112">
        <f>TRUNC(G20*(1+H20),2)</f>
        <v>1524.89</v>
      </c>
      <c r="J20" s="112">
        <f>TRUNC(E20*I20,2)</f>
        <v>1524.89</v>
      </c>
    </row>
    <row r="21" spans="1:10" s="88" customFormat="1" ht="14.25">
      <c r="A21" s="17" t="s">
        <v>253</v>
      </c>
      <c r="B21" s="18" t="s">
        <v>66</v>
      </c>
      <c r="C21" s="63" t="s">
        <v>20</v>
      </c>
      <c r="D21" s="93" t="s">
        <v>202</v>
      </c>
      <c r="E21" s="207">
        <v>1</v>
      </c>
      <c r="F21" s="91" t="s">
        <v>10</v>
      </c>
      <c r="G21" s="89">
        <f>Composicoes!I123</f>
        <v>1797.89</v>
      </c>
      <c r="H21" s="19">
        <v>0.1538</v>
      </c>
      <c r="I21" s="112">
        <f>TRUNC(G21*(1+H21),2)</f>
        <v>2074.4</v>
      </c>
      <c r="J21" s="112">
        <f>TRUNC(E21*I21,2)</f>
        <v>2074.4</v>
      </c>
    </row>
    <row r="22" spans="1:12" s="102" customFormat="1" ht="15">
      <c r="A22" s="11">
        <v>3</v>
      </c>
      <c r="B22" s="12"/>
      <c r="C22" s="64"/>
      <c r="D22" s="92" t="s">
        <v>256</v>
      </c>
      <c r="E22" s="208"/>
      <c r="F22" s="14"/>
      <c r="G22" s="15"/>
      <c r="H22" s="16"/>
      <c r="I22" s="146"/>
      <c r="J22" s="167"/>
      <c r="K22" s="88"/>
      <c r="L22" s="88"/>
    </row>
    <row r="23" spans="1:10" s="88" customFormat="1" ht="14.25">
      <c r="A23" s="17" t="s">
        <v>16</v>
      </c>
      <c r="B23" s="18" t="s">
        <v>66</v>
      </c>
      <c r="C23" s="63" t="s">
        <v>201</v>
      </c>
      <c r="D23" s="93" t="s">
        <v>254</v>
      </c>
      <c r="E23" s="207">
        <v>1</v>
      </c>
      <c r="F23" s="91" t="s">
        <v>10</v>
      </c>
      <c r="G23" s="89">
        <f>Composicoes!I131</f>
        <v>4394.85</v>
      </c>
      <c r="H23" s="19">
        <v>0.1538</v>
      </c>
      <c r="I23" s="112">
        <f>TRUNC(G23*(1+H23),2)</f>
        <v>5070.77</v>
      </c>
      <c r="J23" s="112">
        <f>TRUNC(E23*I23,2)</f>
        <v>5070.77</v>
      </c>
    </row>
    <row r="24" spans="1:10" s="88" customFormat="1" ht="14.25">
      <c r="A24" s="17" t="s">
        <v>51</v>
      </c>
      <c r="B24" s="18" t="s">
        <v>66</v>
      </c>
      <c r="C24" s="63" t="s">
        <v>21</v>
      </c>
      <c r="D24" s="93" t="s">
        <v>134</v>
      </c>
      <c r="E24" s="207">
        <v>1</v>
      </c>
      <c r="F24" s="91" t="s">
        <v>10</v>
      </c>
      <c r="G24" s="89">
        <f>Composicoes!I139</f>
        <v>2297.31</v>
      </c>
      <c r="H24" s="19">
        <v>0.1538</v>
      </c>
      <c r="I24" s="112">
        <f>TRUNC(G24*(1+H24),2)</f>
        <v>2650.63</v>
      </c>
      <c r="J24" s="112">
        <f t="shared" si="1"/>
        <v>2650.63</v>
      </c>
    </row>
    <row r="25" spans="1:10" s="88" customFormat="1" ht="14.25">
      <c r="A25" s="17" t="s">
        <v>133</v>
      </c>
      <c r="B25" s="18" t="s">
        <v>66</v>
      </c>
      <c r="C25" s="63" t="s">
        <v>208</v>
      </c>
      <c r="D25" s="93" t="s">
        <v>255</v>
      </c>
      <c r="E25" s="207">
        <v>1</v>
      </c>
      <c r="F25" s="91" t="s">
        <v>10</v>
      </c>
      <c r="G25" s="89">
        <f>Composicoes!I147</f>
        <v>2197.42</v>
      </c>
      <c r="H25" s="19">
        <v>0.1538</v>
      </c>
      <c r="I25" s="112">
        <f>TRUNC(G25*(1+H25),2)</f>
        <v>2535.38</v>
      </c>
      <c r="J25" s="112">
        <f t="shared" si="1"/>
        <v>2535.38</v>
      </c>
    </row>
    <row r="26" spans="1:12" s="102" customFormat="1" ht="15">
      <c r="A26" s="11">
        <v>4</v>
      </c>
      <c r="B26" s="12"/>
      <c r="C26" s="64"/>
      <c r="D26" s="92" t="s">
        <v>237</v>
      </c>
      <c r="E26" s="208"/>
      <c r="F26" s="14"/>
      <c r="G26" s="15"/>
      <c r="H26" s="16"/>
      <c r="I26" s="146"/>
      <c r="J26" s="167"/>
      <c r="K26" s="88"/>
      <c r="L26" s="88"/>
    </row>
    <row r="27" spans="1:10" s="88" customFormat="1" ht="14.25">
      <c r="A27" s="103" t="s">
        <v>88</v>
      </c>
      <c r="B27" s="104"/>
      <c r="C27" s="105"/>
      <c r="D27" s="106" t="s">
        <v>206</v>
      </c>
      <c r="E27" s="210"/>
      <c r="F27" s="107"/>
      <c r="G27" s="108"/>
      <c r="H27" s="110"/>
      <c r="I27" s="109"/>
      <c r="J27" s="111"/>
    </row>
    <row r="28" spans="1:10" s="88" customFormat="1" ht="14.25">
      <c r="A28" s="17" t="s">
        <v>139</v>
      </c>
      <c r="B28" s="18" t="s">
        <v>66</v>
      </c>
      <c r="C28" s="212" t="s">
        <v>22</v>
      </c>
      <c r="D28" s="93" t="s">
        <v>207</v>
      </c>
      <c r="E28" s="207">
        <v>1</v>
      </c>
      <c r="F28" s="91" t="s">
        <v>10</v>
      </c>
      <c r="G28" s="87">
        <f>Composicoes!I155</f>
        <v>3809.49</v>
      </c>
      <c r="H28" s="19">
        <v>0.1538</v>
      </c>
      <c r="I28" s="112">
        <f>TRUNC(G28*(1+H28),2)</f>
        <v>4395.38</v>
      </c>
      <c r="J28" s="112">
        <f>TRUNC(E28*I28,2)</f>
        <v>4395.38</v>
      </c>
    </row>
    <row r="29" spans="1:10" s="88" customFormat="1" ht="14.25">
      <c r="A29" s="103" t="s">
        <v>89</v>
      </c>
      <c r="B29" s="104"/>
      <c r="C29" s="105"/>
      <c r="D29" s="106" t="s">
        <v>204</v>
      </c>
      <c r="E29" s="210"/>
      <c r="F29" s="107"/>
      <c r="G29" s="108"/>
      <c r="H29" s="110"/>
      <c r="I29" s="109"/>
      <c r="J29" s="111"/>
    </row>
    <row r="30" spans="1:10" s="88" customFormat="1" ht="14.25">
      <c r="A30" s="17" t="s">
        <v>140</v>
      </c>
      <c r="B30" s="18" t="s">
        <v>66</v>
      </c>
      <c r="C30" s="63" t="s">
        <v>48</v>
      </c>
      <c r="D30" s="93" t="s">
        <v>205</v>
      </c>
      <c r="E30" s="207">
        <v>1</v>
      </c>
      <c r="F30" s="91" t="s">
        <v>10</v>
      </c>
      <c r="G30" s="87">
        <f>Composicoes!I165</f>
        <v>23386.07</v>
      </c>
      <c r="H30" s="19">
        <v>0.1538</v>
      </c>
      <c r="I30" s="112">
        <f>TRUNC(G30*(1+H30),2)</f>
        <v>26982.84</v>
      </c>
      <c r="J30" s="112">
        <f>TRUNC(E30*I30,2)</f>
        <v>26982.84</v>
      </c>
    </row>
    <row r="31" spans="1:10" s="88" customFormat="1" ht="14.25">
      <c r="A31" s="103" t="s">
        <v>141</v>
      </c>
      <c r="B31" s="104"/>
      <c r="C31" s="105"/>
      <c r="D31" s="106" t="s">
        <v>109</v>
      </c>
      <c r="E31" s="210"/>
      <c r="F31" s="107"/>
      <c r="G31" s="108"/>
      <c r="H31" s="110"/>
      <c r="I31" s="109"/>
      <c r="J31" s="111"/>
    </row>
    <row r="32" spans="1:10" s="88" customFormat="1" ht="14.25">
      <c r="A32" s="17" t="s">
        <v>142</v>
      </c>
      <c r="B32" s="18" t="s">
        <v>66</v>
      </c>
      <c r="C32" s="63" t="s">
        <v>49</v>
      </c>
      <c r="D32" s="93" t="s">
        <v>76</v>
      </c>
      <c r="E32" s="207">
        <v>1</v>
      </c>
      <c r="F32" s="91" t="s">
        <v>10</v>
      </c>
      <c r="G32" s="87">
        <f>Composicoes!I175</f>
        <v>8837.23</v>
      </c>
      <c r="H32" s="19">
        <v>0.1538</v>
      </c>
      <c r="I32" s="112">
        <f>TRUNC(G32*(1+H32),2)</f>
        <v>10196.39</v>
      </c>
      <c r="J32" s="112">
        <f>TRUNC(E32*I32,2)</f>
        <v>10196.39</v>
      </c>
    </row>
    <row r="33" spans="1:10" s="88" customFormat="1" ht="14.25">
      <c r="A33" s="17" t="s">
        <v>143</v>
      </c>
      <c r="B33" s="18" t="s">
        <v>66</v>
      </c>
      <c r="C33" s="63" t="s">
        <v>200</v>
      </c>
      <c r="D33" s="93" t="s">
        <v>112</v>
      </c>
      <c r="E33" s="207">
        <v>1</v>
      </c>
      <c r="F33" s="91" t="s">
        <v>10</v>
      </c>
      <c r="G33" s="87">
        <f>Composicoes!I185</f>
        <v>2639.69</v>
      </c>
      <c r="H33" s="19">
        <v>0.1538</v>
      </c>
      <c r="I33" s="112">
        <f>TRUNC(G33*(1+H33),2)</f>
        <v>3045.67</v>
      </c>
      <c r="J33" s="112">
        <f>TRUNC(E33*I33,2)</f>
        <v>3045.67</v>
      </c>
    </row>
    <row r="34" spans="1:10" s="88" customFormat="1" ht="14.25">
      <c r="A34" s="17" t="s">
        <v>144</v>
      </c>
      <c r="B34" s="18" t="s">
        <v>66</v>
      </c>
      <c r="C34" s="63" t="s">
        <v>165</v>
      </c>
      <c r="D34" s="93" t="s">
        <v>160</v>
      </c>
      <c r="E34" s="207">
        <v>1</v>
      </c>
      <c r="F34" s="91" t="s">
        <v>10</v>
      </c>
      <c r="G34" s="89">
        <f>Composicoes!I195</f>
        <v>6886.16</v>
      </c>
      <c r="H34" s="19">
        <v>0.1538</v>
      </c>
      <c r="I34" s="112">
        <f>TRUNC(G34*(1+H34),2)</f>
        <v>7945.25</v>
      </c>
      <c r="J34" s="112">
        <f>TRUNC(E34*I34,2)</f>
        <v>7945.25</v>
      </c>
    </row>
    <row r="35" spans="1:10" s="88" customFormat="1" ht="14.25">
      <c r="A35" s="103" t="s">
        <v>145</v>
      </c>
      <c r="B35" s="104"/>
      <c r="C35" s="105"/>
      <c r="D35" s="106" t="s">
        <v>46</v>
      </c>
      <c r="E35" s="210"/>
      <c r="F35" s="107"/>
      <c r="G35" s="108"/>
      <c r="H35" s="110"/>
      <c r="I35" s="130"/>
      <c r="J35" s="168"/>
    </row>
    <row r="36" spans="1:10" s="88" customFormat="1" ht="14.25">
      <c r="A36" s="17" t="s">
        <v>146</v>
      </c>
      <c r="B36" s="18" t="s">
        <v>66</v>
      </c>
      <c r="C36" s="63" t="s">
        <v>166</v>
      </c>
      <c r="D36" s="93" t="s">
        <v>122</v>
      </c>
      <c r="E36" s="207">
        <v>1</v>
      </c>
      <c r="F36" s="91" t="s">
        <v>10</v>
      </c>
      <c r="G36" s="87">
        <f>Composicoes!I205</f>
        <v>4249.49</v>
      </c>
      <c r="H36" s="19">
        <v>0.1538</v>
      </c>
      <c r="I36" s="112">
        <f aca="true" t="shared" si="2" ref="I36:I44">TRUNC(G36*(1+H36),2)</f>
        <v>4903.06</v>
      </c>
      <c r="J36" s="112">
        <f aca="true" t="shared" si="3" ref="J36:J44">TRUNC(E36*I36,2)</f>
        <v>4903.06</v>
      </c>
    </row>
    <row r="37" spans="1:10" s="88" customFormat="1" ht="14.25">
      <c r="A37" s="17" t="s">
        <v>216</v>
      </c>
      <c r="B37" s="18" t="s">
        <v>66</v>
      </c>
      <c r="C37" s="63" t="s">
        <v>213</v>
      </c>
      <c r="D37" s="93" t="s">
        <v>118</v>
      </c>
      <c r="E37" s="207">
        <v>1</v>
      </c>
      <c r="F37" s="91" t="s">
        <v>10</v>
      </c>
      <c r="G37" s="87">
        <f>Composicoes!I215</f>
        <v>1679.6</v>
      </c>
      <c r="H37" s="19">
        <v>0.1538</v>
      </c>
      <c r="I37" s="112">
        <f t="shared" si="2"/>
        <v>1937.92</v>
      </c>
      <c r="J37" s="112">
        <f t="shared" si="3"/>
        <v>1937.92</v>
      </c>
    </row>
    <row r="38" spans="1:10" s="88" customFormat="1" ht="14.25">
      <c r="A38" s="17" t="s">
        <v>217</v>
      </c>
      <c r="B38" s="18" t="s">
        <v>66</v>
      </c>
      <c r="C38" s="63" t="s">
        <v>167</v>
      </c>
      <c r="D38" s="93" t="s">
        <v>119</v>
      </c>
      <c r="E38" s="207">
        <v>1</v>
      </c>
      <c r="F38" s="91" t="s">
        <v>10</v>
      </c>
      <c r="G38" s="87">
        <f>Composicoes!I225</f>
        <v>6719.71</v>
      </c>
      <c r="H38" s="19">
        <v>0.1538</v>
      </c>
      <c r="I38" s="112">
        <f t="shared" si="2"/>
        <v>7753.2</v>
      </c>
      <c r="J38" s="112">
        <f t="shared" si="3"/>
        <v>7753.2</v>
      </c>
    </row>
    <row r="39" spans="1:10" s="88" customFormat="1" ht="14.25">
      <c r="A39" s="17" t="s">
        <v>214</v>
      </c>
      <c r="B39" s="18" t="s">
        <v>66</v>
      </c>
      <c r="C39" s="63" t="s">
        <v>168</v>
      </c>
      <c r="D39" s="93" t="s">
        <v>117</v>
      </c>
      <c r="E39" s="207">
        <v>1</v>
      </c>
      <c r="F39" s="91" t="s">
        <v>10</v>
      </c>
      <c r="G39" s="87">
        <f>Composicoes!I235</f>
        <v>2668.12</v>
      </c>
      <c r="H39" s="19">
        <v>0.1538</v>
      </c>
      <c r="I39" s="112">
        <f>TRUNC(G39*(1+H39),2)</f>
        <v>3078.47</v>
      </c>
      <c r="J39" s="112">
        <f>TRUNC(E39*I39,2)</f>
        <v>3078.47</v>
      </c>
    </row>
    <row r="40" spans="1:10" s="88" customFormat="1" ht="14.25">
      <c r="A40" s="17" t="s">
        <v>218</v>
      </c>
      <c r="B40" s="18" t="s">
        <v>66</v>
      </c>
      <c r="C40" s="63" t="s">
        <v>169</v>
      </c>
      <c r="D40" s="93" t="s">
        <v>120</v>
      </c>
      <c r="E40" s="207">
        <v>1</v>
      </c>
      <c r="F40" s="91" t="s">
        <v>10</v>
      </c>
      <c r="G40" s="87">
        <f>Composicoes!I245</f>
        <v>3063.39</v>
      </c>
      <c r="H40" s="19">
        <v>0.1538</v>
      </c>
      <c r="I40" s="112">
        <f t="shared" si="2"/>
        <v>3534.53</v>
      </c>
      <c r="J40" s="112">
        <f t="shared" si="3"/>
        <v>3534.53</v>
      </c>
    </row>
    <row r="41" spans="1:10" s="88" customFormat="1" ht="14.25">
      <c r="A41" s="17" t="s">
        <v>220</v>
      </c>
      <c r="B41" s="18" t="s">
        <v>66</v>
      </c>
      <c r="C41" s="63" t="s">
        <v>170</v>
      </c>
      <c r="D41" s="93" t="s">
        <v>123</v>
      </c>
      <c r="E41" s="207">
        <v>1</v>
      </c>
      <c r="F41" s="91" t="s">
        <v>10</v>
      </c>
      <c r="G41" s="87">
        <f>Composicoes!I255</f>
        <v>2964.58</v>
      </c>
      <c r="H41" s="19">
        <v>0.1538</v>
      </c>
      <c r="I41" s="112">
        <f>TRUNC(G41*(1+H41),2)</f>
        <v>3420.53</v>
      </c>
      <c r="J41" s="112">
        <f>TRUNC(E41*I41,2)</f>
        <v>3420.53</v>
      </c>
    </row>
    <row r="42" spans="1:10" s="88" customFormat="1" ht="14.25">
      <c r="A42" s="17" t="s">
        <v>215</v>
      </c>
      <c r="B42" s="18" t="s">
        <v>66</v>
      </c>
      <c r="C42" s="63" t="s">
        <v>171</v>
      </c>
      <c r="D42" s="93" t="s">
        <v>250</v>
      </c>
      <c r="E42" s="207">
        <v>1</v>
      </c>
      <c r="F42" s="91" t="s">
        <v>10</v>
      </c>
      <c r="G42" s="87">
        <f>Composicoes!I265</f>
        <v>1877.56</v>
      </c>
      <c r="H42" s="19">
        <v>0.1538</v>
      </c>
      <c r="I42" s="112">
        <f>TRUNC(G42*(1+H42),2)</f>
        <v>2166.32</v>
      </c>
      <c r="J42" s="112">
        <f>TRUNC(E42*I42,2)</f>
        <v>2166.32</v>
      </c>
    </row>
    <row r="43" spans="1:10" s="88" customFormat="1" ht="14.25">
      <c r="A43" s="17" t="s">
        <v>219</v>
      </c>
      <c r="B43" s="18" t="s">
        <v>66</v>
      </c>
      <c r="C43" s="63" t="s">
        <v>172</v>
      </c>
      <c r="D43" s="93" t="s">
        <v>121</v>
      </c>
      <c r="E43" s="207">
        <v>1</v>
      </c>
      <c r="F43" s="91" t="s">
        <v>10</v>
      </c>
      <c r="G43" s="87">
        <f>Composicoes!I275</f>
        <v>1383.47</v>
      </c>
      <c r="H43" s="19">
        <v>0.1538</v>
      </c>
      <c r="I43" s="112">
        <f t="shared" si="2"/>
        <v>1596.24</v>
      </c>
      <c r="J43" s="112">
        <f t="shared" si="3"/>
        <v>1596.24</v>
      </c>
    </row>
    <row r="44" spans="1:10" s="88" customFormat="1" ht="14.25">
      <c r="A44" s="17" t="s">
        <v>221</v>
      </c>
      <c r="B44" s="18" t="s">
        <v>66</v>
      </c>
      <c r="C44" s="63" t="s">
        <v>173</v>
      </c>
      <c r="D44" s="93" t="s">
        <v>159</v>
      </c>
      <c r="E44" s="207">
        <v>1</v>
      </c>
      <c r="F44" s="91" t="s">
        <v>10</v>
      </c>
      <c r="G44" s="87">
        <f>Composicoes!I285</f>
        <v>1679.6</v>
      </c>
      <c r="H44" s="19">
        <v>0.1538</v>
      </c>
      <c r="I44" s="112">
        <f t="shared" si="2"/>
        <v>1937.92</v>
      </c>
      <c r="J44" s="112">
        <f t="shared" si="3"/>
        <v>1937.92</v>
      </c>
    </row>
    <row r="45" spans="1:10" s="88" customFormat="1" ht="14.25">
      <c r="A45" s="103" t="s">
        <v>181</v>
      </c>
      <c r="B45" s="104"/>
      <c r="C45" s="105"/>
      <c r="D45" s="106" t="s">
        <v>103</v>
      </c>
      <c r="E45" s="211"/>
      <c r="F45" s="107"/>
      <c r="G45" s="108"/>
      <c r="H45" s="110"/>
      <c r="I45" s="130"/>
      <c r="J45" s="168"/>
    </row>
    <row r="46" spans="1:10" s="88" customFormat="1" ht="14.25">
      <c r="A46" s="17" t="s">
        <v>182</v>
      </c>
      <c r="B46" s="18" t="s">
        <v>66</v>
      </c>
      <c r="C46" s="63" t="s">
        <v>174</v>
      </c>
      <c r="D46" s="93" t="s">
        <v>113</v>
      </c>
      <c r="E46" s="207">
        <v>1</v>
      </c>
      <c r="F46" s="91" t="s">
        <v>10</v>
      </c>
      <c r="G46" s="87">
        <f>Composicoes!I295</f>
        <v>5279.38</v>
      </c>
      <c r="H46" s="19">
        <v>0.1538</v>
      </c>
      <c r="I46" s="112">
        <f>TRUNC(G46*(1+H46),2)</f>
        <v>6091.34</v>
      </c>
      <c r="J46" s="112">
        <f>TRUNC(E46*I46,2)</f>
        <v>6091.34</v>
      </c>
    </row>
    <row r="47" spans="1:10" s="88" customFormat="1" ht="14.25">
      <c r="A47" s="17" t="s">
        <v>183</v>
      </c>
      <c r="B47" s="18" t="s">
        <v>66</v>
      </c>
      <c r="C47" s="63" t="s">
        <v>127</v>
      </c>
      <c r="D47" s="93" t="s">
        <v>116</v>
      </c>
      <c r="E47" s="207">
        <v>1</v>
      </c>
      <c r="F47" s="91" t="s">
        <v>10</v>
      </c>
      <c r="G47" s="87">
        <f>Composicoes!I305</f>
        <v>1836.31</v>
      </c>
      <c r="H47" s="19">
        <v>0.1538</v>
      </c>
      <c r="I47" s="112">
        <f>TRUNC(G47*(1+H47),2)</f>
        <v>2118.73</v>
      </c>
      <c r="J47" s="112">
        <f>TRUNC(E47*I47,2)</f>
        <v>2118.73</v>
      </c>
    </row>
    <row r="48" spans="1:10" s="88" customFormat="1" ht="14.25">
      <c r="A48" s="17" t="s">
        <v>184</v>
      </c>
      <c r="B48" s="18" t="s">
        <v>66</v>
      </c>
      <c r="C48" s="63" t="s">
        <v>175</v>
      </c>
      <c r="D48" s="93" t="s">
        <v>114</v>
      </c>
      <c r="E48" s="207">
        <v>1</v>
      </c>
      <c r="F48" s="91" t="s">
        <v>10</v>
      </c>
      <c r="G48" s="87">
        <f>Composicoes!I315</f>
        <v>2652.4</v>
      </c>
      <c r="H48" s="19">
        <v>0.1538</v>
      </c>
      <c r="I48" s="112">
        <f>TRUNC(G48*(1+H48),2)</f>
        <v>3060.33</v>
      </c>
      <c r="J48" s="112">
        <f>TRUNC(E48*I48,2)</f>
        <v>3060.33</v>
      </c>
    </row>
    <row r="49" spans="1:10" s="88" customFormat="1" ht="14.25">
      <c r="A49" s="103" t="s">
        <v>185</v>
      </c>
      <c r="B49" s="104"/>
      <c r="C49" s="105"/>
      <c r="D49" s="106" t="s">
        <v>249</v>
      </c>
      <c r="E49" s="211"/>
      <c r="F49" s="107"/>
      <c r="G49" s="108"/>
      <c r="H49" s="110"/>
      <c r="I49" s="130"/>
      <c r="J49" s="168"/>
    </row>
    <row r="50" spans="1:10" s="88" customFormat="1" ht="14.25">
      <c r="A50" s="17" t="s">
        <v>186</v>
      </c>
      <c r="B50" s="18" t="s">
        <v>66</v>
      </c>
      <c r="C50" s="63" t="s">
        <v>176</v>
      </c>
      <c r="D50" s="93" t="s">
        <v>52</v>
      </c>
      <c r="E50" s="207">
        <v>1</v>
      </c>
      <c r="F50" s="91" t="s">
        <v>10</v>
      </c>
      <c r="G50" s="87">
        <f>Composicoes!I325</f>
        <v>7582.66</v>
      </c>
      <c r="H50" s="19">
        <v>0.1538</v>
      </c>
      <c r="I50" s="112">
        <f>TRUNC(G50*(1+H50),2)</f>
        <v>8748.87</v>
      </c>
      <c r="J50" s="112">
        <f>TRUNC(E50*I50,2)</f>
        <v>8748.87</v>
      </c>
    </row>
    <row r="51" spans="1:10" s="88" customFormat="1" ht="14.25">
      <c r="A51" s="103" t="s">
        <v>222</v>
      </c>
      <c r="B51" s="104"/>
      <c r="C51" s="105"/>
      <c r="D51" s="106" t="s">
        <v>115</v>
      </c>
      <c r="E51" s="210"/>
      <c r="F51" s="107"/>
      <c r="G51" s="108"/>
      <c r="H51" s="110"/>
      <c r="I51" s="130"/>
      <c r="J51" s="168"/>
    </row>
    <row r="52" spans="1:10" s="88" customFormat="1" ht="14.25">
      <c r="A52" s="17" t="s">
        <v>223</v>
      </c>
      <c r="B52" s="18" t="s">
        <v>66</v>
      </c>
      <c r="C52" s="63" t="s">
        <v>177</v>
      </c>
      <c r="D52" s="93" t="s">
        <v>180</v>
      </c>
      <c r="E52" s="207">
        <v>1</v>
      </c>
      <c r="F52" s="91" t="s">
        <v>10</v>
      </c>
      <c r="G52" s="87">
        <f>Composicoes!I336</f>
        <v>1845.15</v>
      </c>
      <c r="H52" s="19">
        <v>0.1538</v>
      </c>
      <c r="I52" s="112">
        <f>TRUNC(G52*(1+H52),2)</f>
        <v>2128.93</v>
      </c>
      <c r="J52" s="112">
        <f>TRUNC(E52*I52,2)</f>
        <v>2128.93</v>
      </c>
    </row>
    <row r="53" spans="1:10" s="88" customFormat="1" ht="14.25">
      <c r="A53" s="17" t="s">
        <v>224</v>
      </c>
      <c r="B53" s="18" t="s">
        <v>66</v>
      </c>
      <c r="C53" s="63" t="s">
        <v>178</v>
      </c>
      <c r="D53" s="93" t="s">
        <v>102</v>
      </c>
      <c r="E53" s="207">
        <v>1</v>
      </c>
      <c r="F53" s="91" t="s">
        <v>10</v>
      </c>
      <c r="G53" s="87">
        <f>Composicoes!I346</f>
        <v>3557.84</v>
      </c>
      <c r="H53" s="19">
        <v>0.1538</v>
      </c>
      <c r="I53" s="112">
        <f>TRUNC(G53*(1+H53),2)</f>
        <v>4105.03</v>
      </c>
      <c r="J53" s="112">
        <f>TRUNC(E53*I53,2)</f>
        <v>4105.03</v>
      </c>
    </row>
    <row r="54" spans="1:10" s="88" customFormat="1" ht="14.25">
      <c r="A54" s="17" t="s">
        <v>225</v>
      </c>
      <c r="B54" s="18" t="s">
        <v>66</v>
      </c>
      <c r="C54" s="63" t="s">
        <v>158</v>
      </c>
      <c r="D54" s="93" t="s">
        <v>179</v>
      </c>
      <c r="E54" s="207">
        <v>1</v>
      </c>
      <c r="F54" s="91" t="s">
        <v>10</v>
      </c>
      <c r="G54" s="89">
        <f>Composicoes!I356</f>
        <v>1836.31</v>
      </c>
      <c r="H54" s="19">
        <v>0.1538</v>
      </c>
      <c r="I54" s="112">
        <f>TRUNC(G54*(1+H54),2)</f>
        <v>2118.73</v>
      </c>
      <c r="J54" s="112">
        <f>TRUNC(E54*I54,2)</f>
        <v>2118.73</v>
      </c>
    </row>
    <row r="55" spans="1:10" s="88" customFormat="1" ht="14.25">
      <c r="A55" s="103" t="s">
        <v>226</v>
      </c>
      <c r="B55" s="104"/>
      <c r="C55" s="105"/>
      <c r="D55" s="106" t="s">
        <v>209</v>
      </c>
      <c r="E55" s="210"/>
      <c r="F55" s="107"/>
      <c r="G55" s="108"/>
      <c r="H55" s="110"/>
      <c r="I55" s="130"/>
      <c r="J55" s="168"/>
    </row>
    <row r="56" spans="1:10" s="88" customFormat="1" ht="14.25">
      <c r="A56" s="17" t="s">
        <v>227</v>
      </c>
      <c r="B56" s="18" t="s">
        <v>66</v>
      </c>
      <c r="C56" s="63" t="s">
        <v>162</v>
      </c>
      <c r="D56" s="93" t="s">
        <v>210</v>
      </c>
      <c r="E56" s="207">
        <v>1</v>
      </c>
      <c r="F56" s="91" t="s">
        <v>10</v>
      </c>
      <c r="G56" s="87">
        <f>Composicoes!I366</f>
        <v>1693.11</v>
      </c>
      <c r="H56" s="19">
        <v>0.1538</v>
      </c>
      <c r="I56" s="112">
        <f>TRUNC(G56*(1+H56),2)</f>
        <v>1953.51</v>
      </c>
      <c r="J56" s="112">
        <f>TRUNC(E56*I56,2)</f>
        <v>1953.51</v>
      </c>
    </row>
    <row r="57" spans="1:10" s="88" customFormat="1" ht="14.25">
      <c r="A57" s="17" t="s">
        <v>228</v>
      </c>
      <c r="B57" s="18" t="s">
        <v>66</v>
      </c>
      <c r="C57" s="63" t="s">
        <v>257</v>
      </c>
      <c r="D57" s="93" t="s">
        <v>211</v>
      </c>
      <c r="E57" s="207">
        <v>1</v>
      </c>
      <c r="F57" s="91" t="s">
        <v>10</v>
      </c>
      <c r="G57" s="87">
        <f>Composicoes!I376</f>
        <v>1836.31</v>
      </c>
      <c r="H57" s="19">
        <v>0.1538</v>
      </c>
      <c r="I57" s="112">
        <f>TRUNC(G57*(1+H57),2)</f>
        <v>2118.73</v>
      </c>
      <c r="J57" s="112">
        <f>TRUNC(E57*I57,2)</f>
        <v>2118.73</v>
      </c>
    </row>
    <row r="58" spans="1:12" s="102" customFormat="1" ht="15">
      <c r="A58" s="11">
        <v>5</v>
      </c>
      <c r="B58" s="12"/>
      <c r="C58" s="64"/>
      <c r="D58" s="92" t="s">
        <v>238</v>
      </c>
      <c r="E58" s="208"/>
      <c r="F58" s="14"/>
      <c r="G58" s="15"/>
      <c r="H58" s="16"/>
      <c r="I58" s="146"/>
      <c r="J58" s="167"/>
      <c r="K58" s="88"/>
      <c r="L58" s="88"/>
    </row>
    <row r="59" spans="1:10" s="88" customFormat="1" ht="14.25">
      <c r="A59" s="17" t="s">
        <v>94</v>
      </c>
      <c r="B59" s="18" t="s">
        <v>66</v>
      </c>
      <c r="C59" s="63" t="s">
        <v>258</v>
      </c>
      <c r="D59" s="94" t="s">
        <v>239</v>
      </c>
      <c r="E59" s="207">
        <v>1</v>
      </c>
      <c r="F59" s="91" t="s">
        <v>10</v>
      </c>
      <c r="G59" s="87">
        <f>Composicoes!I386</f>
        <v>7182.98</v>
      </c>
      <c r="H59" s="19">
        <v>0.1538</v>
      </c>
      <c r="I59" s="112">
        <f>TRUNC(G59*(1+H59),2)</f>
        <v>8287.72</v>
      </c>
      <c r="J59" s="112">
        <f>TRUNC(E59*I59,2)</f>
        <v>8287.72</v>
      </c>
    </row>
    <row r="60" spans="1:10" s="10" customFormat="1" ht="15">
      <c r="A60" s="20"/>
      <c r="B60" s="21"/>
      <c r="C60" s="21"/>
      <c r="D60" s="70" t="s">
        <v>23</v>
      </c>
      <c r="E60" s="1"/>
      <c r="F60" s="22"/>
      <c r="G60" s="23"/>
      <c r="I60" s="24" t="s">
        <v>34</v>
      </c>
      <c r="J60" s="151">
        <f>SUM(J10:J59)</f>
        <v>168828.45</v>
      </c>
    </row>
    <row r="61" spans="1:10" s="70" customFormat="1" ht="14.25">
      <c r="A61" s="1"/>
      <c r="B61" s="1"/>
      <c r="C61" s="1"/>
      <c r="D61" s="118" t="s">
        <v>59</v>
      </c>
      <c r="E61" s="97"/>
      <c r="F61" s="95"/>
      <c r="G61" s="96"/>
      <c r="H61" s="95"/>
      <c r="I61" s="95"/>
      <c r="J61" s="2"/>
    </row>
    <row r="62" spans="1:10" s="70" customFormat="1" ht="14.25">
      <c r="A62" s="3"/>
      <c r="B62" s="3"/>
      <c r="C62" s="3"/>
      <c r="D62" s="119" t="s">
        <v>24</v>
      </c>
      <c r="E62" s="99"/>
      <c r="F62" s="98"/>
      <c r="G62" s="98"/>
      <c r="I62" s="4" t="s">
        <v>260</v>
      </c>
      <c r="J62" s="128"/>
    </row>
    <row r="63" spans="1:10" s="70" customFormat="1" ht="14.25">
      <c r="A63" s="3"/>
      <c r="B63" s="3"/>
      <c r="C63" s="3"/>
      <c r="D63" s="174" t="s">
        <v>261</v>
      </c>
      <c r="E63" s="99"/>
      <c r="I63" s="4" t="s">
        <v>25</v>
      </c>
      <c r="J63" s="2"/>
    </row>
    <row r="64" spans="1:10" s="70" customFormat="1" ht="14.25">
      <c r="A64" s="3"/>
      <c r="B64" s="3"/>
      <c r="C64" s="3"/>
      <c r="D64" s="153" t="s">
        <v>147</v>
      </c>
      <c r="E64" s="100"/>
      <c r="I64" s="4" t="s">
        <v>26</v>
      </c>
      <c r="J64" s="2"/>
    </row>
    <row r="65" spans="1:10" s="70" customFormat="1" ht="14.25">
      <c r="A65" s="3"/>
      <c r="B65" s="3"/>
      <c r="C65" s="3"/>
      <c r="D65" s="176" t="s">
        <v>262</v>
      </c>
      <c r="E65" s="100">
        <f>TRUNC(251.077/227.136-1,4)</f>
        <v>0.1054</v>
      </c>
      <c r="F65" s="98"/>
      <c r="G65" s="98"/>
      <c r="H65" s="101"/>
      <c r="I65" s="101"/>
      <c r="J65" s="2"/>
    </row>
    <row r="66" spans="1:10" s="70" customFormat="1" ht="14.25">
      <c r="A66" s="3"/>
      <c r="B66" s="3"/>
      <c r="C66" s="3"/>
      <c r="D66" s="176" t="s">
        <v>263</v>
      </c>
      <c r="E66" s="100">
        <f>TRUNC(251.077/242.103-1,4)</f>
        <v>0.037</v>
      </c>
      <c r="J66" s="2"/>
    </row>
    <row r="67" spans="1:10" s="70" customFormat="1" ht="14.25">
      <c r="A67" s="3"/>
      <c r="B67" s="3"/>
      <c r="C67" s="3"/>
      <c r="D67" s="175" t="s">
        <v>264</v>
      </c>
      <c r="E67" s="148">
        <f>TRUNC(251.077/245.714-1,4)</f>
        <v>0.0218</v>
      </c>
      <c r="J67" s="2"/>
    </row>
    <row r="68" spans="1:10" s="70" customFormat="1" ht="14.25">
      <c r="A68" s="3"/>
      <c r="B68" s="3"/>
      <c r="C68" s="3"/>
      <c r="I68" s="4"/>
      <c r="J68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1"/>
  <sheetViews>
    <sheetView showGridLines="0" zoomScale="70" zoomScaleNormal="70" zoomScalePageLayoutView="0" workbookViewId="0" topLeftCell="A1">
      <selection activeCell="D395" sqref="D395"/>
    </sheetView>
  </sheetViews>
  <sheetFormatPr defaultColWidth="17.421875" defaultRowHeight="15"/>
  <cols>
    <col min="1" max="1" width="15.421875" style="150" bestFit="1" customWidth="1"/>
    <col min="2" max="2" width="62.7109375" style="150" customWidth="1"/>
    <col min="3" max="3" width="11.28125" style="150" customWidth="1"/>
    <col min="4" max="4" width="11.7109375" style="150" bestFit="1" customWidth="1"/>
    <col min="5" max="5" width="27.421875" style="150" customWidth="1"/>
    <col min="6" max="6" width="21.57421875" style="150" customWidth="1"/>
    <col min="7" max="7" width="25.7109375" style="150" customWidth="1"/>
    <col min="8" max="8" width="14.7109375" style="150" customWidth="1"/>
    <col min="9" max="9" width="20.7109375" style="150" bestFit="1" customWidth="1"/>
    <col min="10" max="16384" width="17.421875" style="150" customWidth="1"/>
  </cols>
  <sheetData>
    <row r="1" spans="1:9" s="26" customFormat="1" ht="21" thickBot="1">
      <c r="A1" s="25"/>
      <c r="B1" s="25" t="s">
        <v>65</v>
      </c>
      <c r="C1" s="25"/>
      <c r="D1" s="25"/>
      <c r="E1" s="25"/>
      <c r="F1" s="25"/>
      <c r="G1" s="25"/>
      <c r="H1" s="25"/>
      <c r="I1" s="25"/>
    </row>
    <row r="2" spans="1:9" s="26" customFormat="1" ht="18.75">
      <c r="A2" s="27"/>
      <c r="B2" s="28" t="s">
        <v>148</v>
      </c>
      <c r="C2" s="28"/>
      <c r="D2" s="28"/>
      <c r="E2" s="28"/>
      <c r="F2" s="28"/>
      <c r="G2" s="28"/>
      <c r="H2" s="28"/>
      <c r="I2" s="29"/>
    </row>
    <row r="3" spans="1:9" s="26" customFormat="1" ht="15">
      <c r="A3" s="30"/>
      <c r="B3" s="164" t="s">
        <v>231</v>
      </c>
      <c r="C3" s="190"/>
      <c r="D3" s="190"/>
      <c r="E3" s="190"/>
      <c r="F3" s="190"/>
      <c r="G3" s="190"/>
      <c r="H3" s="190"/>
      <c r="I3" s="34"/>
    </row>
    <row r="4" spans="1:9" s="26" customFormat="1" ht="15">
      <c r="A4" s="30"/>
      <c r="B4" s="32" t="s">
        <v>248</v>
      </c>
      <c r="C4" s="33"/>
      <c r="D4" s="33"/>
      <c r="E4" s="33"/>
      <c r="F4" s="33"/>
      <c r="G4" s="33"/>
      <c r="H4" s="31"/>
      <c r="I4" s="34"/>
    </row>
    <row r="5" spans="1:9" s="26" customFormat="1" ht="14.25">
      <c r="A5" s="30"/>
      <c r="B5" s="31"/>
      <c r="C5" s="33"/>
      <c r="D5" s="33"/>
      <c r="E5" s="31"/>
      <c r="F5" s="33"/>
      <c r="G5" s="31"/>
      <c r="H5" s="33"/>
      <c r="I5" s="34"/>
    </row>
    <row r="6" spans="1:9" s="26" customFormat="1" ht="18">
      <c r="A6" s="42"/>
      <c r="B6" s="36" t="s">
        <v>27</v>
      </c>
      <c r="D6" s="35"/>
      <c r="E6" s="35"/>
      <c r="F6" s="35"/>
      <c r="G6" s="35"/>
      <c r="H6" s="35"/>
      <c r="I6" s="37"/>
    </row>
    <row r="7" spans="1:9" s="26" customFormat="1" ht="18.75" thickBot="1">
      <c r="A7" s="38"/>
      <c r="B7" s="39"/>
      <c r="C7" s="39"/>
      <c r="D7" s="40"/>
      <c r="E7" s="39"/>
      <c r="F7" s="40"/>
      <c r="G7" s="39"/>
      <c r="H7" s="40"/>
      <c r="I7" s="41"/>
    </row>
    <row r="8" spans="1:9" ht="15">
      <c r="A8" s="44" t="s">
        <v>28</v>
      </c>
      <c r="B8" s="44" t="s">
        <v>29</v>
      </c>
      <c r="C8" s="45"/>
      <c r="D8" s="45"/>
      <c r="E8" s="45"/>
      <c r="F8" s="45"/>
      <c r="G8" s="46"/>
      <c r="H8" s="43" t="s">
        <v>68</v>
      </c>
      <c r="I8" s="43" t="s">
        <v>67</v>
      </c>
    </row>
    <row r="9" spans="1:9" ht="15">
      <c r="A9" s="47" t="s">
        <v>8</v>
      </c>
      <c r="B9" s="113" t="s">
        <v>236</v>
      </c>
      <c r="C9" s="114"/>
      <c r="D9" s="114"/>
      <c r="E9" s="114"/>
      <c r="F9" s="114"/>
      <c r="G9" s="115"/>
      <c r="H9" s="116" t="s">
        <v>10</v>
      </c>
      <c r="I9" s="117">
        <f>TRUNC((SUM(I11)),2)</f>
        <v>6290.84</v>
      </c>
    </row>
    <row r="10" spans="1:9" ht="15.75" customHeight="1">
      <c r="A10" s="49" t="s">
        <v>1</v>
      </c>
      <c r="B10" s="50" t="s">
        <v>2</v>
      </c>
      <c r="C10" s="50" t="s">
        <v>30</v>
      </c>
      <c r="D10" s="51" t="s">
        <v>31</v>
      </c>
      <c r="E10" s="52" t="s">
        <v>32</v>
      </c>
      <c r="F10" s="53" t="s">
        <v>4</v>
      </c>
      <c r="G10" s="54" t="s">
        <v>32</v>
      </c>
      <c r="H10" s="55"/>
      <c r="I10" s="51" t="s">
        <v>69</v>
      </c>
    </row>
    <row r="11" spans="1:9" ht="15">
      <c r="A11" s="56">
        <v>1</v>
      </c>
      <c r="B11" s="57" t="s">
        <v>212</v>
      </c>
      <c r="C11" s="56" t="s">
        <v>77</v>
      </c>
      <c r="D11" s="67">
        <v>42.982</v>
      </c>
      <c r="E11" s="90" t="s">
        <v>259</v>
      </c>
      <c r="F11" s="82">
        <v>146.36</v>
      </c>
      <c r="G11" s="59" t="s">
        <v>90</v>
      </c>
      <c r="H11" s="60">
        <v>90779</v>
      </c>
      <c r="I11" s="79">
        <f>TRUNC(D11*F11,4)</f>
        <v>6290.8455</v>
      </c>
    </row>
    <row r="12" spans="1:9" ht="15">
      <c r="A12" s="6"/>
      <c r="B12" s="6"/>
      <c r="C12" s="7"/>
      <c r="D12" s="7"/>
      <c r="E12" s="7"/>
      <c r="F12" s="6"/>
      <c r="G12" s="6"/>
      <c r="H12" s="6"/>
      <c r="I12" s="6"/>
    </row>
    <row r="13" spans="3:5" ht="15">
      <c r="C13" s="6"/>
      <c r="D13" s="6"/>
      <c r="E13" s="6"/>
    </row>
    <row r="14" spans="1:9" ht="15">
      <c r="A14" s="44" t="s">
        <v>28</v>
      </c>
      <c r="B14" s="44" t="s">
        <v>29</v>
      </c>
      <c r="C14" s="45"/>
      <c r="D14" s="45"/>
      <c r="E14" s="45"/>
      <c r="F14" s="45"/>
      <c r="G14" s="46"/>
      <c r="H14" s="43" t="s">
        <v>68</v>
      </c>
      <c r="I14" s="43" t="s">
        <v>67</v>
      </c>
    </row>
    <row r="15" spans="1:9" ht="15">
      <c r="A15" s="47" t="s">
        <v>12</v>
      </c>
      <c r="B15" s="113" t="s">
        <v>188</v>
      </c>
      <c r="C15" s="114"/>
      <c r="D15" s="114"/>
      <c r="E15" s="114"/>
      <c r="F15" s="114"/>
      <c r="G15" s="115"/>
      <c r="H15" s="116" t="s">
        <v>10</v>
      </c>
      <c r="I15" s="117">
        <f>TRUNC((SUM(I17:I41)),2)</f>
        <v>6776.04</v>
      </c>
    </row>
    <row r="16" spans="1:9" ht="15.75" customHeight="1">
      <c r="A16" s="49" t="s">
        <v>1</v>
      </c>
      <c r="B16" s="50" t="s">
        <v>2</v>
      </c>
      <c r="C16" s="50" t="s">
        <v>30</v>
      </c>
      <c r="D16" s="51" t="s">
        <v>31</v>
      </c>
      <c r="E16" s="52" t="s">
        <v>32</v>
      </c>
      <c r="F16" s="53" t="s">
        <v>4</v>
      </c>
      <c r="G16" s="54" t="s">
        <v>32</v>
      </c>
      <c r="H16" s="55"/>
      <c r="I16" s="51" t="s">
        <v>69</v>
      </c>
    </row>
    <row r="17" spans="1:9" s="191" customFormat="1" ht="15">
      <c r="A17" s="180">
        <v>1</v>
      </c>
      <c r="B17" s="181" t="s">
        <v>132</v>
      </c>
      <c r="C17" s="182" t="s">
        <v>93</v>
      </c>
      <c r="D17" s="183">
        <v>1</v>
      </c>
      <c r="E17" s="184"/>
      <c r="F17" s="185">
        <f>SUMPRODUCT(D18:D21,F18:F21)</f>
        <v>538.30360873</v>
      </c>
      <c r="G17" s="186"/>
      <c r="H17" s="187"/>
      <c r="I17" s="188">
        <f>D17*F17</f>
        <v>538.30360873</v>
      </c>
    </row>
    <row r="18" spans="1:9" ht="15">
      <c r="A18" s="178" t="s">
        <v>192</v>
      </c>
      <c r="B18" s="71" t="s">
        <v>57</v>
      </c>
      <c r="C18" s="178" t="s">
        <v>77</v>
      </c>
      <c r="D18" s="162">
        <v>4</v>
      </c>
      <c r="E18" s="73"/>
      <c r="F18" s="179">
        <v>25.56</v>
      </c>
      <c r="G18" s="59" t="s">
        <v>62</v>
      </c>
      <c r="H18" s="60">
        <v>88322</v>
      </c>
      <c r="I18" s="177"/>
    </row>
    <row r="19" spans="1:9" ht="15">
      <c r="A19" s="56" t="s">
        <v>9</v>
      </c>
      <c r="B19" s="57" t="s">
        <v>50</v>
      </c>
      <c r="C19" s="56" t="s">
        <v>77</v>
      </c>
      <c r="D19" s="67">
        <v>8</v>
      </c>
      <c r="E19" s="58"/>
      <c r="F19" s="82">
        <v>17.76</v>
      </c>
      <c r="G19" s="59" t="s">
        <v>62</v>
      </c>
      <c r="H19" s="60">
        <v>88316</v>
      </c>
      <c r="I19" s="79"/>
    </row>
    <row r="20" spans="1:9" ht="15">
      <c r="A20" s="56" t="s">
        <v>45</v>
      </c>
      <c r="B20" s="57" t="s">
        <v>130</v>
      </c>
      <c r="C20" s="66" t="s">
        <v>79</v>
      </c>
      <c r="D20" s="67">
        <f>ROUND((D18)/176,4)</f>
        <v>0.0227</v>
      </c>
      <c r="E20" s="58"/>
      <c r="F20" s="79">
        <f>TRUNC(611.48*(1+Orcamento!$E$65),4)</f>
        <v>675.9299</v>
      </c>
      <c r="G20" s="74" t="s">
        <v>80</v>
      </c>
      <c r="H20" s="69" t="s">
        <v>131</v>
      </c>
      <c r="I20" s="79"/>
    </row>
    <row r="21" spans="1:9" ht="29.25">
      <c r="A21" s="56" t="s">
        <v>106</v>
      </c>
      <c r="B21" s="149" t="s">
        <v>91</v>
      </c>
      <c r="C21" s="56" t="s">
        <v>33</v>
      </c>
      <c r="D21" s="67">
        <f>D18</f>
        <v>4</v>
      </c>
      <c r="E21" s="58"/>
      <c r="F21" s="82">
        <v>69.66</v>
      </c>
      <c r="G21" s="77" t="s">
        <v>62</v>
      </c>
      <c r="H21" s="78">
        <v>92145</v>
      </c>
      <c r="I21" s="79"/>
    </row>
    <row r="22" spans="1:9" s="191" customFormat="1" ht="15">
      <c r="A22" s="180">
        <v>2</v>
      </c>
      <c r="B22" s="181" t="s">
        <v>129</v>
      </c>
      <c r="C22" s="182" t="s">
        <v>93</v>
      </c>
      <c r="D22" s="183">
        <v>2</v>
      </c>
      <c r="E22" s="184"/>
      <c r="F22" s="185">
        <f>SUMPRODUCT(D23:D26,F23:F26)</f>
        <v>134.59280043</v>
      </c>
      <c r="G22" s="186"/>
      <c r="H22" s="187"/>
      <c r="I22" s="188">
        <f>D22*F22</f>
        <v>269.18560086</v>
      </c>
    </row>
    <row r="23" spans="1:9" ht="15">
      <c r="A23" s="56" t="s">
        <v>11</v>
      </c>
      <c r="B23" s="57" t="s">
        <v>57</v>
      </c>
      <c r="C23" s="56" t="s">
        <v>77</v>
      </c>
      <c r="D23" s="67">
        <v>1</v>
      </c>
      <c r="E23" s="58"/>
      <c r="F23" s="82">
        <v>25.56</v>
      </c>
      <c r="G23" s="59" t="s">
        <v>62</v>
      </c>
      <c r="H23" s="60">
        <v>88322</v>
      </c>
      <c r="I23" s="79"/>
    </row>
    <row r="24" spans="1:9" ht="15">
      <c r="A24" s="56" t="s">
        <v>13</v>
      </c>
      <c r="B24" s="57" t="s">
        <v>50</v>
      </c>
      <c r="C24" s="56" t="s">
        <v>77</v>
      </c>
      <c r="D24" s="67">
        <v>2</v>
      </c>
      <c r="E24" s="58"/>
      <c r="F24" s="82">
        <v>17.76</v>
      </c>
      <c r="G24" s="59" t="s">
        <v>62</v>
      </c>
      <c r="H24" s="60">
        <v>88316</v>
      </c>
      <c r="I24" s="79"/>
    </row>
    <row r="25" spans="1:9" ht="15">
      <c r="A25" s="56" t="s">
        <v>154</v>
      </c>
      <c r="B25" s="57" t="s">
        <v>130</v>
      </c>
      <c r="C25" s="66" t="s">
        <v>79</v>
      </c>
      <c r="D25" s="67">
        <f>ROUND((D23)/176,4)</f>
        <v>0.0057</v>
      </c>
      <c r="E25" s="58"/>
      <c r="F25" s="79">
        <f>TRUNC(611.48*(1+Orcamento!$E$65),4)</f>
        <v>675.9299</v>
      </c>
      <c r="G25" s="74" t="s">
        <v>80</v>
      </c>
      <c r="H25" s="69" t="s">
        <v>131</v>
      </c>
      <c r="I25" s="79"/>
    </row>
    <row r="26" spans="1:9" ht="29.25">
      <c r="A26" s="56" t="s">
        <v>189</v>
      </c>
      <c r="B26" s="149" t="s">
        <v>91</v>
      </c>
      <c r="C26" s="56" t="s">
        <v>33</v>
      </c>
      <c r="D26" s="67">
        <f>D23</f>
        <v>1</v>
      </c>
      <c r="E26" s="58"/>
      <c r="F26" s="82">
        <v>69.66</v>
      </c>
      <c r="G26" s="77" t="s">
        <v>62</v>
      </c>
      <c r="H26" s="78">
        <v>92145</v>
      </c>
      <c r="I26" s="79"/>
    </row>
    <row r="27" spans="1:9" s="191" customFormat="1" ht="15">
      <c r="A27" s="180">
        <v>3</v>
      </c>
      <c r="B27" s="181" t="s">
        <v>246</v>
      </c>
      <c r="C27" s="182" t="s">
        <v>93</v>
      </c>
      <c r="D27" s="183">
        <v>3</v>
      </c>
      <c r="E27" s="184"/>
      <c r="F27" s="185">
        <f>SUMPRODUCT(D28:D29,F28:F29)</f>
        <v>87.4017</v>
      </c>
      <c r="G27" s="186"/>
      <c r="H27" s="187"/>
      <c r="I27" s="188">
        <f>D27*F27</f>
        <v>262.2051</v>
      </c>
    </row>
    <row r="28" spans="1:9" ht="15">
      <c r="A28" s="56" t="s">
        <v>16</v>
      </c>
      <c r="B28" s="57" t="s">
        <v>50</v>
      </c>
      <c r="C28" s="56" t="s">
        <v>77</v>
      </c>
      <c r="D28" s="67">
        <v>4</v>
      </c>
      <c r="E28" s="58"/>
      <c r="F28" s="82">
        <v>17.76</v>
      </c>
      <c r="G28" s="59" t="s">
        <v>62</v>
      </c>
      <c r="H28" s="60">
        <v>88316</v>
      </c>
      <c r="I28" s="79"/>
    </row>
    <row r="29" spans="1:9" ht="28.5">
      <c r="A29" s="56" t="s">
        <v>51</v>
      </c>
      <c r="B29" s="57" t="s">
        <v>241</v>
      </c>
      <c r="C29" s="56" t="s">
        <v>111</v>
      </c>
      <c r="D29" s="67">
        <f>0.5*0.5*0.1*1.2</f>
        <v>0.03</v>
      </c>
      <c r="E29" s="58" t="s">
        <v>242</v>
      </c>
      <c r="F29" s="82">
        <v>545.39</v>
      </c>
      <c r="G29" s="59" t="s">
        <v>62</v>
      </c>
      <c r="H29" s="60">
        <v>87374</v>
      </c>
      <c r="I29" s="79"/>
    </row>
    <row r="30" spans="1:9" s="191" customFormat="1" ht="15">
      <c r="A30" s="180">
        <v>4</v>
      </c>
      <c r="B30" s="181" t="s">
        <v>194</v>
      </c>
      <c r="C30" s="182" t="s">
        <v>195</v>
      </c>
      <c r="D30" s="183">
        <f>3*22</f>
        <v>66</v>
      </c>
      <c r="E30" s="184" t="s">
        <v>240</v>
      </c>
      <c r="F30" s="185">
        <f>SUMPRODUCT(D31:D35,F31:F35)</f>
        <v>79.19208455</v>
      </c>
      <c r="G30" s="186"/>
      <c r="H30" s="187"/>
      <c r="I30" s="188">
        <f>D30*F30</f>
        <v>5226.6775803</v>
      </c>
    </row>
    <row r="31" spans="1:9" ht="15">
      <c r="A31" s="56" t="s">
        <v>88</v>
      </c>
      <c r="B31" s="57" t="s">
        <v>57</v>
      </c>
      <c r="C31" s="56" t="s">
        <v>77</v>
      </c>
      <c r="D31" s="67">
        <v>0.8</v>
      </c>
      <c r="E31" s="58"/>
      <c r="F31" s="82">
        <v>25.56</v>
      </c>
      <c r="G31" s="59" t="s">
        <v>62</v>
      </c>
      <c r="H31" s="60">
        <v>88322</v>
      </c>
      <c r="I31" s="79"/>
    </row>
    <row r="32" spans="1:9" ht="15">
      <c r="A32" s="56" t="s">
        <v>89</v>
      </c>
      <c r="B32" s="57" t="s">
        <v>50</v>
      </c>
      <c r="C32" s="56" t="s">
        <v>77</v>
      </c>
      <c r="D32" s="67">
        <v>1.6</v>
      </c>
      <c r="E32" s="58"/>
      <c r="F32" s="82">
        <v>17.76</v>
      </c>
      <c r="G32" s="59" t="s">
        <v>62</v>
      </c>
      <c r="H32" s="60">
        <v>88316</v>
      </c>
      <c r="I32" s="79"/>
    </row>
    <row r="33" spans="1:9" ht="15">
      <c r="A33" s="56" t="s">
        <v>141</v>
      </c>
      <c r="B33" s="57" t="s">
        <v>130</v>
      </c>
      <c r="C33" s="66" t="s">
        <v>79</v>
      </c>
      <c r="D33" s="67">
        <f>ROUND((D31)/176,4)</f>
        <v>0.0045</v>
      </c>
      <c r="E33" s="58"/>
      <c r="F33" s="79">
        <f>TRUNC(611.48*(1+Orcamento!$E$65),4)</f>
        <v>675.9299</v>
      </c>
      <c r="G33" s="74" t="s">
        <v>80</v>
      </c>
      <c r="H33" s="69" t="s">
        <v>131</v>
      </c>
      <c r="I33" s="79"/>
    </row>
    <row r="34" spans="1:9" ht="29.25">
      <c r="A34" s="56" t="s">
        <v>145</v>
      </c>
      <c r="B34" s="149" t="s">
        <v>91</v>
      </c>
      <c r="C34" s="56" t="s">
        <v>33</v>
      </c>
      <c r="D34" s="67">
        <f>ROUND(D31*0.2,4)</f>
        <v>0.16</v>
      </c>
      <c r="E34" s="58"/>
      <c r="F34" s="82">
        <v>69.66</v>
      </c>
      <c r="G34" s="77" t="s">
        <v>62</v>
      </c>
      <c r="H34" s="78">
        <v>92145</v>
      </c>
      <c r="I34" s="79"/>
    </row>
    <row r="35" spans="1:9" ht="29.25">
      <c r="A35" s="56" t="s">
        <v>181</v>
      </c>
      <c r="B35" s="149" t="s">
        <v>92</v>
      </c>
      <c r="C35" s="56" t="s">
        <v>58</v>
      </c>
      <c r="D35" s="67">
        <f>ROUND(D34*4,4)</f>
        <v>0.64</v>
      </c>
      <c r="E35" s="58"/>
      <c r="F35" s="82">
        <v>25.22</v>
      </c>
      <c r="G35" s="77" t="s">
        <v>62</v>
      </c>
      <c r="H35" s="78">
        <v>92146</v>
      </c>
      <c r="I35" s="79"/>
    </row>
    <row r="36" spans="1:9" s="191" customFormat="1" ht="15">
      <c r="A36" s="180">
        <v>5</v>
      </c>
      <c r="B36" s="181" t="s">
        <v>193</v>
      </c>
      <c r="C36" s="182" t="s">
        <v>195</v>
      </c>
      <c r="D36" s="183">
        <f>3*22</f>
        <v>66</v>
      </c>
      <c r="E36" s="184" t="s">
        <v>240</v>
      </c>
      <c r="F36" s="185">
        <f>SUMPRODUCT(D37:D41,F37:F41)</f>
        <v>7.267817430000002</v>
      </c>
      <c r="G36" s="186"/>
      <c r="H36" s="187"/>
      <c r="I36" s="188">
        <f>D36*F36</f>
        <v>479.67595038000013</v>
      </c>
    </row>
    <row r="37" spans="1:9" ht="15">
      <c r="A37" s="56" t="s">
        <v>94</v>
      </c>
      <c r="B37" s="57" t="s">
        <v>73</v>
      </c>
      <c r="C37" s="56" t="s">
        <v>77</v>
      </c>
      <c r="D37" s="67">
        <f>D31*0.2</f>
        <v>0.16000000000000003</v>
      </c>
      <c r="E37" s="58"/>
      <c r="F37" s="82">
        <v>37.02</v>
      </c>
      <c r="G37" s="61" t="s">
        <v>62</v>
      </c>
      <c r="H37" s="62">
        <v>88597</v>
      </c>
      <c r="I37" s="79"/>
    </row>
    <row r="38" spans="1:9" s="10" customFormat="1" ht="14.25">
      <c r="A38" s="56" t="s">
        <v>95</v>
      </c>
      <c r="B38" s="57" t="s">
        <v>78</v>
      </c>
      <c r="C38" s="66" t="s">
        <v>79</v>
      </c>
      <c r="D38" s="67">
        <f>ROUND((D37)/176,4)</f>
        <v>0.0009</v>
      </c>
      <c r="E38" s="58"/>
      <c r="F38" s="79">
        <f>TRUNC(171.37*(1+Orcamento!$E$65),4)</f>
        <v>189.4323</v>
      </c>
      <c r="G38" s="74" t="s">
        <v>80</v>
      </c>
      <c r="H38" s="69" t="s">
        <v>55</v>
      </c>
      <c r="I38" s="79"/>
    </row>
    <row r="39" spans="1:9" s="10" customFormat="1" ht="14.25">
      <c r="A39" s="56" t="s">
        <v>243</v>
      </c>
      <c r="B39" s="71" t="s">
        <v>81</v>
      </c>
      <c r="C39" s="72" t="s">
        <v>82</v>
      </c>
      <c r="D39" s="162">
        <f>ROUND((D37)/(176*12),4)</f>
        <v>0.0001</v>
      </c>
      <c r="E39" s="73"/>
      <c r="F39" s="79">
        <f>TRUNC(6461.72*(1+Orcamento!$E$66),4)</f>
        <v>6700.8036</v>
      </c>
      <c r="G39" s="68" t="s">
        <v>83</v>
      </c>
      <c r="H39" s="69" t="s">
        <v>84</v>
      </c>
      <c r="I39" s="79"/>
    </row>
    <row r="40" spans="1:9" ht="15">
      <c r="A40" s="56" t="s">
        <v>244</v>
      </c>
      <c r="B40" s="57" t="s">
        <v>35</v>
      </c>
      <c r="C40" s="56" t="s">
        <v>93</v>
      </c>
      <c r="D40" s="67">
        <f>ROUND(D37*1,4)</f>
        <v>0.16</v>
      </c>
      <c r="E40" s="58"/>
      <c r="F40" s="82">
        <f>TRUNC(0.35*(1+Orcamento!$E$65),4)</f>
        <v>0.3868</v>
      </c>
      <c r="G40" s="65" t="s">
        <v>80</v>
      </c>
      <c r="H40" s="60" t="s">
        <v>87</v>
      </c>
      <c r="I40" s="79"/>
    </row>
    <row r="41" spans="1:9" ht="15">
      <c r="A41" s="56" t="s">
        <v>245</v>
      </c>
      <c r="B41" s="57" t="s">
        <v>36</v>
      </c>
      <c r="C41" s="56" t="s">
        <v>93</v>
      </c>
      <c r="D41" s="67">
        <f>ROUND(D40*0.5,4)</f>
        <v>0.08</v>
      </c>
      <c r="E41" s="58"/>
      <c r="F41" s="82">
        <f>TRUNC(5*(1+Orcamento!$E$65),4)</f>
        <v>5.527</v>
      </c>
      <c r="G41" s="65" t="s">
        <v>80</v>
      </c>
      <c r="H41" s="60" t="s">
        <v>85</v>
      </c>
      <c r="I41" s="79"/>
    </row>
    <row r="42" spans="3:5" ht="15">
      <c r="C42" s="6"/>
      <c r="D42" s="6"/>
      <c r="E42" s="6"/>
    </row>
    <row r="43" spans="3:5" ht="15">
      <c r="C43" s="6"/>
      <c r="D43" s="6"/>
      <c r="E43" s="6"/>
    </row>
    <row r="44" spans="1:9" ht="15">
      <c r="A44" s="44" t="s">
        <v>28</v>
      </c>
      <c r="B44" s="44" t="s">
        <v>29</v>
      </c>
      <c r="C44" s="45"/>
      <c r="D44" s="45"/>
      <c r="E44" s="45"/>
      <c r="F44" s="45"/>
      <c r="G44" s="46"/>
      <c r="H44" s="43" t="s">
        <v>68</v>
      </c>
      <c r="I44" s="43" t="s">
        <v>67</v>
      </c>
    </row>
    <row r="45" spans="1:9" ht="15">
      <c r="A45" s="47" t="s">
        <v>14</v>
      </c>
      <c r="B45" s="113" t="s">
        <v>124</v>
      </c>
      <c r="C45" s="114"/>
      <c r="D45" s="114"/>
      <c r="E45" s="114"/>
      <c r="F45" s="114"/>
      <c r="G45" s="115"/>
      <c r="H45" s="116" t="s">
        <v>10</v>
      </c>
      <c r="I45" s="48">
        <f>TRUNC(I47,2)</f>
        <v>550.16</v>
      </c>
    </row>
    <row r="46" spans="1:9" ht="15.75" customHeight="1">
      <c r="A46" s="49" t="s">
        <v>1</v>
      </c>
      <c r="B46" s="50" t="s">
        <v>2</v>
      </c>
      <c r="C46" s="50" t="s">
        <v>30</v>
      </c>
      <c r="D46" s="51" t="s">
        <v>31</v>
      </c>
      <c r="E46" s="52" t="s">
        <v>32</v>
      </c>
      <c r="F46" s="53" t="s">
        <v>4</v>
      </c>
      <c r="G46" s="54" t="s">
        <v>32</v>
      </c>
      <c r="H46" s="55"/>
      <c r="I46" s="51" t="s">
        <v>69</v>
      </c>
    </row>
    <row r="47" spans="1:9" s="191" customFormat="1" ht="15">
      <c r="A47" s="180">
        <v>1</v>
      </c>
      <c r="B47" s="181" t="s">
        <v>198</v>
      </c>
      <c r="C47" s="182" t="s">
        <v>197</v>
      </c>
      <c r="D47" s="183">
        <v>783.36</v>
      </c>
      <c r="E47" s="184" t="s">
        <v>229</v>
      </c>
      <c r="F47" s="185">
        <f>SUMPRODUCT(D48:D59,F48:F59)</f>
        <v>0.7023130333000001</v>
      </c>
      <c r="G47" s="186"/>
      <c r="H47" s="187"/>
      <c r="I47" s="188">
        <f>D47*F47</f>
        <v>550.163937765888</v>
      </c>
    </row>
    <row r="48" spans="1:9" ht="15">
      <c r="A48" s="56"/>
      <c r="B48" s="57" t="s">
        <v>100</v>
      </c>
      <c r="C48" s="83"/>
      <c r="D48" s="86"/>
      <c r="E48" s="84"/>
      <c r="F48" s="85"/>
      <c r="G48" s="84"/>
      <c r="H48" s="69"/>
      <c r="I48" s="79"/>
    </row>
    <row r="49" spans="1:9" ht="15">
      <c r="A49" s="56" t="s">
        <v>7</v>
      </c>
      <c r="B49" s="57" t="s">
        <v>71</v>
      </c>
      <c r="C49" s="56" t="s">
        <v>77</v>
      </c>
      <c r="D49" s="67">
        <v>0.005</v>
      </c>
      <c r="E49" s="58" t="s">
        <v>72</v>
      </c>
      <c r="F49" s="82">
        <v>13.69</v>
      </c>
      <c r="G49" s="61" t="s">
        <v>62</v>
      </c>
      <c r="H49" s="62">
        <v>88253</v>
      </c>
      <c r="I49" s="79"/>
    </row>
    <row r="50" spans="1:9" ht="15">
      <c r="A50" s="56" t="s">
        <v>9</v>
      </c>
      <c r="B50" s="57" t="s">
        <v>128</v>
      </c>
      <c r="C50" s="56" t="s">
        <v>77</v>
      </c>
      <c r="D50" s="67">
        <v>0.005</v>
      </c>
      <c r="E50" s="58" t="s">
        <v>72</v>
      </c>
      <c r="F50" s="82">
        <v>31.8</v>
      </c>
      <c r="G50" s="61" t="s">
        <v>62</v>
      </c>
      <c r="H50" s="62">
        <v>90781</v>
      </c>
      <c r="I50" s="79"/>
    </row>
    <row r="51" spans="1:9" ht="28.5">
      <c r="A51" s="56" t="s">
        <v>11</v>
      </c>
      <c r="B51" s="57" t="s">
        <v>74</v>
      </c>
      <c r="C51" s="56" t="s">
        <v>33</v>
      </c>
      <c r="D51" s="67">
        <v>0.002</v>
      </c>
      <c r="E51" s="58" t="s">
        <v>72</v>
      </c>
      <c r="F51" s="82">
        <v>69.66</v>
      </c>
      <c r="G51" s="61" t="s">
        <v>62</v>
      </c>
      <c r="H51" s="62">
        <v>92145</v>
      </c>
      <c r="I51" s="79"/>
    </row>
    <row r="52" spans="1:9" ht="28.5">
      <c r="A52" s="56" t="s">
        <v>13</v>
      </c>
      <c r="B52" s="57" t="s">
        <v>74</v>
      </c>
      <c r="C52" s="56" t="s">
        <v>58</v>
      </c>
      <c r="D52" s="67">
        <f>D50</f>
        <v>0.005</v>
      </c>
      <c r="E52" s="58"/>
      <c r="F52" s="82">
        <v>25.22</v>
      </c>
      <c r="G52" s="61" t="s">
        <v>62</v>
      </c>
      <c r="H52" s="62">
        <v>92146</v>
      </c>
      <c r="I52" s="79"/>
    </row>
    <row r="53" spans="1:9" ht="15">
      <c r="A53" s="56">
        <v>3</v>
      </c>
      <c r="B53" s="57" t="s">
        <v>98</v>
      </c>
      <c r="C53" s="66" t="s">
        <v>79</v>
      </c>
      <c r="D53" s="80">
        <f>ROUND((D50)/176,6)</f>
        <v>2.8E-05</v>
      </c>
      <c r="E53" s="58"/>
      <c r="F53" s="79">
        <f>TRUNC(899.9*(1+Orcamento!$E$65),4)</f>
        <v>994.7494</v>
      </c>
      <c r="G53" s="74" t="s">
        <v>80</v>
      </c>
      <c r="H53" s="62" t="s">
        <v>99</v>
      </c>
      <c r="I53" s="79"/>
    </row>
    <row r="54" spans="1:9" ht="15">
      <c r="A54" s="56"/>
      <c r="B54" s="57" t="s">
        <v>101</v>
      </c>
      <c r="C54" s="83"/>
      <c r="D54" s="86"/>
      <c r="E54" s="84"/>
      <c r="F54" s="85"/>
      <c r="G54" s="84"/>
      <c r="H54" s="69"/>
      <c r="I54" s="79"/>
    </row>
    <row r="55" spans="1:9" ht="15">
      <c r="A55" s="56">
        <v>4</v>
      </c>
      <c r="B55" s="57" t="s">
        <v>73</v>
      </c>
      <c r="C55" s="56" t="s">
        <v>77</v>
      </c>
      <c r="D55" s="67">
        <v>0.004</v>
      </c>
      <c r="E55" s="58" t="s">
        <v>72</v>
      </c>
      <c r="F55" s="82">
        <v>37.02</v>
      </c>
      <c r="G55" s="61" t="s">
        <v>62</v>
      </c>
      <c r="H55" s="62">
        <v>88597</v>
      </c>
      <c r="I55" s="79"/>
    </row>
    <row r="56" spans="1:9" s="10" customFormat="1" ht="14.25">
      <c r="A56" s="56" t="s">
        <v>94</v>
      </c>
      <c r="B56" s="57" t="s">
        <v>78</v>
      </c>
      <c r="C56" s="66" t="s">
        <v>79</v>
      </c>
      <c r="D56" s="80">
        <f>ROUND((D55)/176,6)</f>
        <v>2.3E-05</v>
      </c>
      <c r="E56" s="58"/>
      <c r="F56" s="79">
        <f>TRUNC(171.37*(1+Orcamento!$E$65),4)</f>
        <v>189.4323</v>
      </c>
      <c r="G56" s="74" t="s">
        <v>80</v>
      </c>
      <c r="H56" s="69" t="s">
        <v>55</v>
      </c>
      <c r="I56" s="79"/>
    </row>
    <row r="57" spans="1:9" s="10" customFormat="1" ht="14.25">
      <c r="A57" s="56" t="s">
        <v>95</v>
      </c>
      <c r="B57" s="71" t="s">
        <v>81</v>
      </c>
      <c r="C57" s="72" t="s">
        <v>82</v>
      </c>
      <c r="D57" s="81">
        <f>ROUND((D55)/(176*12),6)</f>
        <v>2E-06</v>
      </c>
      <c r="E57" s="73"/>
      <c r="F57" s="79">
        <f>TRUNC(6461.72*(1+Orcamento!$E$66),4)</f>
        <v>6700.8036</v>
      </c>
      <c r="G57" s="68" t="s">
        <v>83</v>
      </c>
      <c r="H57" s="69" t="s">
        <v>84</v>
      </c>
      <c r="I57" s="79"/>
    </row>
    <row r="58" spans="1:9" ht="15">
      <c r="A58" s="56" t="s">
        <v>96</v>
      </c>
      <c r="B58" s="57" t="s">
        <v>35</v>
      </c>
      <c r="C58" s="56" t="s">
        <v>93</v>
      </c>
      <c r="D58" s="67">
        <f>ROUND(D49*1,4)</f>
        <v>0.005</v>
      </c>
      <c r="E58" s="58"/>
      <c r="F58" s="82">
        <f>TRUNC(0.35*(1+Orcamento!$E$65),4)</f>
        <v>0.3868</v>
      </c>
      <c r="G58" s="65" t="s">
        <v>80</v>
      </c>
      <c r="H58" s="60" t="s">
        <v>87</v>
      </c>
      <c r="I58" s="79"/>
    </row>
    <row r="59" spans="1:9" ht="15">
      <c r="A59" s="56" t="s">
        <v>97</v>
      </c>
      <c r="B59" s="57" t="s">
        <v>36</v>
      </c>
      <c r="C59" s="56" t="s">
        <v>93</v>
      </c>
      <c r="D59" s="67">
        <f>ROUND(D58*0.5,4)</f>
        <v>0.0025</v>
      </c>
      <c r="E59" s="58"/>
      <c r="F59" s="82">
        <f>TRUNC(5*(1+Orcamento!$E$65),4)</f>
        <v>5.527</v>
      </c>
      <c r="G59" s="65" t="s">
        <v>80</v>
      </c>
      <c r="H59" s="60" t="s">
        <v>85</v>
      </c>
      <c r="I59" s="79"/>
    </row>
    <row r="60" spans="1:5" ht="15">
      <c r="A60" s="192"/>
      <c r="B60" s="192"/>
      <c r="C60" s="192"/>
      <c r="D60" s="192"/>
      <c r="E60" s="192"/>
    </row>
    <row r="61" spans="3:5" ht="15">
      <c r="C61" s="6"/>
      <c r="D61" s="6"/>
      <c r="E61" s="6"/>
    </row>
    <row r="62" spans="1:9" ht="15">
      <c r="A62" s="44" t="s">
        <v>28</v>
      </c>
      <c r="B62" s="44" t="s">
        <v>29</v>
      </c>
      <c r="C62" s="45"/>
      <c r="D62" s="45"/>
      <c r="E62" s="45"/>
      <c r="F62" s="45"/>
      <c r="G62" s="46"/>
      <c r="H62" s="43" t="s">
        <v>68</v>
      </c>
      <c r="I62" s="43" t="s">
        <v>67</v>
      </c>
    </row>
    <row r="63" spans="1:9" ht="15">
      <c r="A63" s="47" t="s">
        <v>196</v>
      </c>
      <c r="B63" s="113" t="s">
        <v>164</v>
      </c>
      <c r="C63" s="114"/>
      <c r="D63" s="114"/>
      <c r="E63" s="114"/>
      <c r="F63" s="114"/>
      <c r="G63" s="115"/>
      <c r="H63" s="116" t="s">
        <v>10</v>
      </c>
      <c r="I63" s="117">
        <f>TRUNC(SUM(I65:I70),2)</f>
        <v>2386.36</v>
      </c>
    </row>
    <row r="64" spans="1:9" ht="15.75" customHeight="1">
      <c r="A64" s="49" t="s">
        <v>1</v>
      </c>
      <c r="B64" s="50" t="s">
        <v>2</v>
      </c>
      <c r="C64" s="50" t="s">
        <v>30</v>
      </c>
      <c r="D64" s="51" t="s">
        <v>31</v>
      </c>
      <c r="E64" s="52" t="s">
        <v>32</v>
      </c>
      <c r="F64" s="53" t="s">
        <v>4</v>
      </c>
      <c r="G64" s="54" t="s">
        <v>32</v>
      </c>
      <c r="H64" s="55"/>
      <c r="I64" s="51" t="s">
        <v>69</v>
      </c>
    </row>
    <row r="65" spans="1:9" ht="15">
      <c r="A65" s="56">
        <v>1</v>
      </c>
      <c r="B65" s="57" t="s">
        <v>203</v>
      </c>
      <c r="C65" s="56" t="s">
        <v>77</v>
      </c>
      <c r="D65" s="67">
        <v>20</v>
      </c>
      <c r="E65" s="58"/>
      <c r="F65" s="82">
        <v>98.42</v>
      </c>
      <c r="G65" s="59" t="s">
        <v>62</v>
      </c>
      <c r="H65" s="60">
        <v>90769</v>
      </c>
      <c r="I65" s="79">
        <f aca="true" t="shared" si="0" ref="I65:I70">TRUNC(D65*F65,4)</f>
        <v>1968.4</v>
      </c>
    </row>
    <row r="66" spans="1:9" ht="15">
      <c r="A66" s="56">
        <v>2</v>
      </c>
      <c r="B66" s="57" t="s">
        <v>54</v>
      </c>
      <c r="C66" s="56" t="s">
        <v>33</v>
      </c>
      <c r="D66" s="67">
        <f>ROUND(D65*0.5,4)</f>
        <v>10</v>
      </c>
      <c r="E66" s="58"/>
      <c r="F66" s="82">
        <f>TRUNC(26.422*(1+Orcamento!$E$67),4)</f>
        <v>26.9979</v>
      </c>
      <c r="G66" s="59" t="s">
        <v>60</v>
      </c>
      <c r="H66" s="60" t="s">
        <v>61</v>
      </c>
      <c r="I66" s="79">
        <f t="shared" si="0"/>
        <v>269.979</v>
      </c>
    </row>
    <row r="67" spans="1:9" s="10" customFormat="1" ht="14.25">
      <c r="A67" s="56" t="s">
        <v>16</v>
      </c>
      <c r="B67" s="57" t="s">
        <v>78</v>
      </c>
      <c r="C67" s="66" t="s">
        <v>79</v>
      </c>
      <c r="D67" s="80">
        <f>ROUND((D65)/176,6)</f>
        <v>0.113636</v>
      </c>
      <c r="E67" s="58"/>
      <c r="F67" s="79">
        <f>TRUNC(171.37*(1+Orcamento!$E$65),4)</f>
        <v>189.4323</v>
      </c>
      <c r="G67" s="74" t="s">
        <v>80</v>
      </c>
      <c r="H67" s="69" t="s">
        <v>55</v>
      </c>
      <c r="I67" s="79">
        <f t="shared" si="0"/>
        <v>21.5263</v>
      </c>
    </row>
    <row r="68" spans="1:9" s="10" customFormat="1" ht="14.25">
      <c r="A68" s="56" t="s">
        <v>51</v>
      </c>
      <c r="B68" s="71" t="s">
        <v>81</v>
      </c>
      <c r="C68" s="72" t="s">
        <v>82</v>
      </c>
      <c r="D68" s="81">
        <f>ROUND((D65)/(176*12),6)</f>
        <v>0.00947</v>
      </c>
      <c r="E68" s="73"/>
      <c r="F68" s="79">
        <f>TRUNC(6461.72*(1+Orcamento!$E$66),4)</f>
        <v>6700.8036</v>
      </c>
      <c r="G68" s="68" t="s">
        <v>83</v>
      </c>
      <c r="H68" s="69" t="s">
        <v>84</v>
      </c>
      <c r="I68" s="79">
        <f t="shared" si="0"/>
        <v>63.4566</v>
      </c>
    </row>
    <row r="69" spans="1:9" ht="15">
      <c r="A69" s="56" t="s">
        <v>88</v>
      </c>
      <c r="B69" s="57" t="s">
        <v>35</v>
      </c>
      <c r="C69" s="56" t="s">
        <v>93</v>
      </c>
      <c r="D69" s="67">
        <f>ROUND(D65*1,4)</f>
        <v>20</v>
      </c>
      <c r="E69" s="58"/>
      <c r="F69" s="82">
        <f>TRUNC(0.35*(1+Orcamento!$E$65),4)</f>
        <v>0.3868</v>
      </c>
      <c r="G69" s="65" t="s">
        <v>80</v>
      </c>
      <c r="H69" s="60" t="s">
        <v>87</v>
      </c>
      <c r="I69" s="79">
        <f t="shared" si="0"/>
        <v>7.736</v>
      </c>
    </row>
    <row r="70" spans="1:9" ht="15">
      <c r="A70" s="56" t="s">
        <v>89</v>
      </c>
      <c r="B70" s="57" t="s">
        <v>36</v>
      </c>
      <c r="C70" s="56" t="s">
        <v>93</v>
      </c>
      <c r="D70" s="67">
        <f>ROUND(D69*0.5,4)</f>
        <v>10</v>
      </c>
      <c r="E70" s="58"/>
      <c r="F70" s="82">
        <f>TRUNC(5*(1+Orcamento!$E$65),4)</f>
        <v>5.527</v>
      </c>
      <c r="G70" s="65" t="s">
        <v>80</v>
      </c>
      <c r="H70" s="60" t="s">
        <v>85</v>
      </c>
      <c r="I70" s="79">
        <f t="shared" si="0"/>
        <v>55.27</v>
      </c>
    </row>
    <row r="71" spans="1:9" ht="15">
      <c r="A71" s="6"/>
      <c r="B71" s="5"/>
      <c r="C71" s="7"/>
      <c r="D71" s="7"/>
      <c r="E71" s="7"/>
      <c r="I71" s="6"/>
    </row>
    <row r="72" spans="2:5" ht="15">
      <c r="B72" s="193"/>
      <c r="C72" s="6"/>
      <c r="D72" s="6"/>
      <c r="E72" s="6"/>
    </row>
    <row r="73" spans="1:9" ht="15">
      <c r="A73" s="44" t="s">
        <v>28</v>
      </c>
      <c r="B73" s="44" t="s">
        <v>29</v>
      </c>
      <c r="C73" s="45"/>
      <c r="D73" s="45"/>
      <c r="E73" s="45"/>
      <c r="F73" s="45"/>
      <c r="G73" s="46"/>
      <c r="H73" s="43" t="s">
        <v>68</v>
      </c>
      <c r="I73" s="43" t="s">
        <v>67</v>
      </c>
    </row>
    <row r="74" spans="1:9" ht="15">
      <c r="A74" s="47" t="s">
        <v>15</v>
      </c>
      <c r="B74" s="113" t="s">
        <v>161</v>
      </c>
      <c r="C74" s="114"/>
      <c r="D74" s="114"/>
      <c r="E74" s="114"/>
      <c r="F74" s="114"/>
      <c r="G74" s="115"/>
      <c r="H74" s="116" t="s">
        <v>10</v>
      </c>
      <c r="I74" s="117">
        <f>TRUNC(SUM(I76:I81),2)</f>
        <v>3848.01</v>
      </c>
    </row>
    <row r="75" spans="1:9" ht="15.75" customHeight="1">
      <c r="A75" s="49" t="s">
        <v>1</v>
      </c>
      <c r="B75" s="50" t="s">
        <v>2</v>
      </c>
      <c r="C75" s="50" t="s">
        <v>30</v>
      </c>
      <c r="D75" s="51" t="s">
        <v>31</v>
      </c>
      <c r="E75" s="52" t="s">
        <v>32</v>
      </c>
      <c r="F75" s="53" t="s">
        <v>4</v>
      </c>
      <c r="G75" s="54" t="s">
        <v>32</v>
      </c>
      <c r="H75" s="55"/>
      <c r="I75" s="51" t="s">
        <v>69</v>
      </c>
    </row>
    <row r="76" spans="1:9" ht="15">
      <c r="A76" s="56">
        <v>1</v>
      </c>
      <c r="B76" s="57" t="s">
        <v>37</v>
      </c>
      <c r="C76" s="56" t="s">
        <v>77</v>
      </c>
      <c r="D76" s="67">
        <v>30</v>
      </c>
      <c r="E76" s="58"/>
      <c r="F76" s="82">
        <v>107.37</v>
      </c>
      <c r="G76" s="59" t="s">
        <v>62</v>
      </c>
      <c r="H76" s="60">
        <v>90778</v>
      </c>
      <c r="I76" s="79">
        <f aca="true" t="shared" si="1" ref="I76:I81">TRUNC(D76*F76,4)</f>
        <v>3221.1</v>
      </c>
    </row>
    <row r="77" spans="1:9" ht="15">
      <c r="A77" s="56">
        <v>2</v>
      </c>
      <c r="B77" s="57" t="s">
        <v>54</v>
      </c>
      <c r="C77" s="56" t="s">
        <v>33</v>
      </c>
      <c r="D77" s="67">
        <f>ROUND(D76*0.5,4)</f>
        <v>15</v>
      </c>
      <c r="E77" s="58"/>
      <c r="F77" s="82">
        <f>TRUNC(26.422*(1+Orcamento!$E$67),4)</f>
        <v>26.9979</v>
      </c>
      <c r="G77" s="59" t="s">
        <v>60</v>
      </c>
      <c r="H77" s="60" t="s">
        <v>61</v>
      </c>
      <c r="I77" s="79">
        <f t="shared" si="1"/>
        <v>404.9685</v>
      </c>
    </row>
    <row r="78" spans="1:9" s="10" customFormat="1" ht="14.25">
      <c r="A78" s="56" t="s">
        <v>16</v>
      </c>
      <c r="B78" s="57" t="s">
        <v>78</v>
      </c>
      <c r="C78" s="66" t="s">
        <v>79</v>
      </c>
      <c r="D78" s="80">
        <f>ROUND(D76/176,6)</f>
        <v>0.170455</v>
      </c>
      <c r="E78" s="58"/>
      <c r="F78" s="79">
        <f>TRUNC(171.37*(1+Orcamento!$E$65),4)</f>
        <v>189.4323</v>
      </c>
      <c r="G78" s="74" t="s">
        <v>80</v>
      </c>
      <c r="H78" s="69" t="s">
        <v>55</v>
      </c>
      <c r="I78" s="79">
        <f t="shared" si="1"/>
        <v>32.2896</v>
      </c>
    </row>
    <row r="79" spans="1:9" s="10" customFormat="1" ht="14.25">
      <c r="A79" s="56" t="s">
        <v>51</v>
      </c>
      <c r="B79" s="71" t="s">
        <v>81</v>
      </c>
      <c r="C79" s="72" t="s">
        <v>82</v>
      </c>
      <c r="D79" s="162">
        <f>ROUND((D76)/(176*12),4)</f>
        <v>0.0142</v>
      </c>
      <c r="E79" s="73"/>
      <c r="F79" s="79">
        <f>TRUNC(6461.72*(1+Orcamento!$E$66),4)</f>
        <v>6700.8036</v>
      </c>
      <c r="G79" s="68" t="s">
        <v>83</v>
      </c>
      <c r="H79" s="69" t="s">
        <v>84</v>
      </c>
      <c r="I79" s="79">
        <f t="shared" si="1"/>
        <v>95.1514</v>
      </c>
    </row>
    <row r="80" spans="1:9" ht="15">
      <c r="A80" s="56" t="s">
        <v>88</v>
      </c>
      <c r="B80" s="57" t="s">
        <v>35</v>
      </c>
      <c r="C80" s="56" t="s">
        <v>93</v>
      </c>
      <c r="D80" s="67">
        <f>ROUND(D76*1,4)</f>
        <v>30</v>
      </c>
      <c r="E80" s="58"/>
      <c r="F80" s="82">
        <f>TRUNC(0.35*(1+Orcamento!$E$65),4)</f>
        <v>0.3868</v>
      </c>
      <c r="G80" s="65" t="s">
        <v>80</v>
      </c>
      <c r="H80" s="60" t="s">
        <v>87</v>
      </c>
      <c r="I80" s="79">
        <f t="shared" si="1"/>
        <v>11.604</v>
      </c>
    </row>
    <row r="81" spans="1:9" ht="15">
      <c r="A81" s="56" t="s">
        <v>89</v>
      </c>
      <c r="B81" s="57" t="s">
        <v>36</v>
      </c>
      <c r="C81" s="56" t="s">
        <v>93</v>
      </c>
      <c r="D81" s="67">
        <f>ROUND(D80*0.5,4)</f>
        <v>15</v>
      </c>
      <c r="E81" s="58"/>
      <c r="F81" s="82">
        <f>TRUNC(5*(1+Orcamento!$E$65),4)</f>
        <v>5.527</v>
      </c>
      <c r="G81" s="65" t="s">
        <v>80</v>
      </c>
      <c r="H81" s="60" t="s">
        <v>85</v>
      </c>
      <c r="I81" s="79">
        <f t="shared" si="1"/>
        <v>82.905</v>
      </c>
    </row>
    <row r="82" spans="1:9" ht="15">
      <c r="A82" s="6"/>
      <c r="B82" s="5"/>
      <c r="C82" s="7"/>
      <c r="D82" s="7"/>
      <c r="E82" s="7"/>
      <c r="I82" s="6"/>
    </row>
    <row r="83" spans="2:5" ht="15">
      <c r="B83" s="193"/>
      <c r="C83" s="6"/>
      <c r="D83" s="6"/>
      <c r="E83" s="6"/>
    </row>
    <row r="84" spans="1:9" ht="15">
      <c r="A84" s="44" t="s">
        <v>28</v>
      </c>
      <c r="B84" s="44" t="s">
        <v>29</v>
      </c>
      <c r="C84" s="45"/>
      <c r="D84" s="45"/>
      <c r="E84" s="45"/>
      <c r="F84" s="45"/>
      <c r="G84" s="46"/>
      <c r="H84" s="43" t="s">
        <v>68</v>
      </c>
      <c r="I84" s="43" t="s">
        <v>67</v>
      </c>
    </row>
    <row r="85" spans="1:9" ht="15">
      <c r="A85" s="47" t="s">
        <v>17</v>
      </c>
      <c r="B85" s="113" t="s">
        <v>126</v>
      </c>
      <c r="C85" s="114"/>
      <c r="D85" s="114"/>
      <c r="E85" s="114"/>
      <c r="F85" s="114"/>
      <c r="G85" s="115"/>
      <c r="H85" s="116" t="s">
        <v>10</v>
      </c>
      <c r="I85" s="117">
        <f>TRUNC(SUM(I87:I89),2)</f>
        <v>2097.54</v>
      </c>
    </row>
    <row r="86" spans="1:9" ht="15.75" customHeight="1">
      <c r="A86" s="49" t="s">
        <v>1</v>
      </c>
      <c r="B86" s="50" t="s">
        <v>2</v>
      </c>
      <c r="C86" s="50" t="s">
        <v>30</v>
      </c>
      <c r="D86" s="51" t="s">
        <v>31</v>
      </c>
      <c r="E86" s="52" t="s">
        <v>32</v>
      </c>
      <c r="F86" s="53" t="s">
        <v>4</v>
      </c>
      <c r="G86" s="54" t="s">
        <v>32</v>
      </c>
      <c r="H86" s="55"/>
      <c r="I86" s="51" t="s">
        <v>69</v>
      </c>
    </row>
    <row r="87" spans="1:9" ht="15">
      <c r="A87" s="56">
        <v>1</v>
      </c>
      <c r="B87" s="57" t="s">
        <v>203</v>
      </c>
      <c r="C87" s="56" t="s">
        <v>77</v>
      </c>
      <c r="D87" s="129">
        <v>21</v>
      </c>
      <c r="E87" s="58"/>
      <c r="F87" s="82">
        <v>98.42</v>
      </c>
      <c r="G87" s="59" t="s">
        <v>62</v>
      </c>
      <c r="H87" s="60">
        <v>90769</v>
      </c>
      <c r="I87" s="79">
        <f>TRUNC(D87*F87,4)</f>
        <v>2066.82</v>
      </c>
    </row>
    <row r="88" spans="1:9" s="10" customFormat="1" ht="14.25">
      <c r="A88" s="56">
        <v>2</v>
      </c>
      <c r="B88" s="57" t="s">
        <v>78</v>
      </c>
      <c r="C88" s="66" t="s">
        <v>79</v>
      </c>
      <c r="D88" s="67">
        <f>ROUND((D87)/176,4)</f>
        <v>0.1193</v>
      </c>
      <c r="E88" s="58"/>
      <c r="F88" s="79">
        <f>TRUNC(171.37*(1+Orcamento!$E$65),4)</f>
        <v>189.4323</v>
      </c>
      <c r="G88" s="74" t="s">
        <v>80</v>
      </c>
      <c r="H88" s="69" t="s">
        <v>55</v>
      </c>
      <c r="I88" s="79">
        <f>TRUNC(D88*F88,4)</f>
        <v>22.5992</v>
      </c>
    </row>
    <row r="89" spans="1:9" ht="15">
      <c r="A89" s="56">
        <v>3</v>
      </c>
      <c r="B89" s="57" t="s">
        <v>35</v>
      </c>
      <c r="C89" s="56" t="s">
        <v>93</v>
      </c>
      <c r="D89" s="67">
        <f>ROUND(D87*1,4)</f>
        <v>21</v>
      </c>
      <c r="E89" s="58"/>
      <c r="F89" s="82">
        <f>TRUNC(0.35*(1+Orcamento!$E$65),4)</f>
        <v>0.3868</v>
      </c>
      <c r="G89" s="65" t="s">
        <v>80</v>
      </c>
      <c r="H89" s="60" t="s">
        <v>87</v>
      </c>
      <c r="I89" s="79">
        <f>TRUNC(D89*F89,4)</f>
        <v>8.1228</v>
      </c>
    </row>
    <row r="90" spans="1:9" ht="15">
      <c r="A90" s="6"/>
      <c r="B90" s="5"/>
      <c r="C90" s="7"/>
      <c r="D90" s="7"/>
      <c r="E90" s="7"/>
      <c r="I90" s="6"/>
    </row>
    <row r="91" spans="2:5" ht="15">
      <c r="B91" s="193"/>
      <c r="C91" s="6"/>
      <c r="D91" s="6"/>
      <c r="E91" s="6"/>
    </row>
    <row r="92" spans="1:9" ht="15">
      <c r="A92" s="44" t="s">
        <v>28</v>
      </c>
      <c r="B92" s="44" t="s">
        <v>29</v>
      </c>
      <c r="C92" s="45"/>
      <c r="D92" s="45"/>
      <c r="E92" s="45"/>
      <c r="F92" s="45"/>
      <c r="G92" s="46"/>
      <c r="H92" s="43" t="s">
        <v>68</v>
      </c>
      <c r="I92" s="43" t="s">
        <v>67</v>
      </c>
    </row>
    <row r="93" spans="1:9" ht="15">
      <c r="A93" s="47" t="s">
        <v>18</v>
      </c>
      <c r="B93" s="113" t="s">
        <v>56</v>
      </c>
      <c r="C93" s="114"/>
      <c r="D93" s="114"/>
      <c r="E93" s="114"/>
      <c r="F93" s="114"/>
      <c r="G93" s="115"/>
      <c r="H93" s="116" t="s">
        <v>10</v>
      </c>
      <c r="I93" s="117">
        <f>TRUNC(SUM(I95:I101),2)</f>
        <v>2057.2</v>
      </c>
    </row>
    <row r="94" spans="1:9" ht="15.75" customHeight="1">
      <c r="A94" s="49" t="s">
        <v>1</v>
      </c>
      <c r="B94" s="50" t="s">
        <v>2</v>
      </c>
      <c r="C94" s="50" t="s">
        <v>30</v>
      </c>
      <c r="D94" s="51" t="s">
        <v>31</v>
      </c>
      <c r="E94" s="52" t="s">
        <v>32</v>
      </c>
      <c r="F94" s="53" t="s">
        <v>4</v>
      </c>
      <c r="G94" s="54" t="s">
        <v>32</v>
      </c>
      <c r="H94" s="55"/>
      <c r="I94" s="51" t="s">
        <v>69</v>
      </c>
    </row>
    <row r="95" spans="1:9" ht="15">
      <c r="A95" s="56" t="s">
        <v>7</v>
      </c>
      <c r="B95" s="57" t="s">
        <v>37</v>
      </c>
      <c r="C95" s="56" t="s">
        <v>77</v>
      </c>
      <c r="D95" s="67">
        <v>15</v>
      </c>
      <c r="E95" s="58"/>
      <c r="F95" s="82">
        <v>107.37</v>
      </c>
      <c r="G95" s="59" t="s">
        <v>62</v>
      </c>
      <c r="H95" s="60">
        <v>90778</v>
      </c>
      <c r="I95" s="79">
        <f aca="true" t="shared" si="2" ref="I95:I101">TRUNC(D95*F95,4)</f>
        <v>1610.55</v>
      </c>
    </row>
    <row r="96" spans="1:9" s="10" customFormat="1" ht="14.25">
      <c r="A96" s="56" t="s">
        <v>9</v>
      </c>
      <c r="B96" s="194" t="s">
        <v>50</v>
      </c>
      <c r="C96" s="56" t="s">
        <v>77</v>
      </c>
      <c r="D96" s="145">
        <f>ROUND(D95*0.5,4)</f>
        <v>7.5</v>
      </c>
      <c r="E96" s="75"/>
      <c r="F96" s="161">
        <v>17.76</v>
      </c>
      <c r="G96" s="76" t="s">
        <v>90</v>
      </c>
      <c r="H96" s="62">
        <v>88316</v>
      </c>
      <c r="I96" s="79">
        <f t="shared" si="2"/>
        <v>133.2</v>
      </c>
    </row>
    <row r="97" spans="1:9" s="10" customFormat="1" ht="14.25">
      <c r="A97" s="56">
        <v>2</v>
      </c>
      <c r="B97" s="57" t="s">
        <v>54</v>
      </c>
      <c r="C97" s="56" t="s">
        <v>33</v>
      </c>
      <c r="D97" s="67">
        <f>ROUND(D95*0.5,4)</f>
        <v>7.5</v>
      </c>
      <c r="E97" s="58"/>
      <c r="F97" s="82">
        <f>TRUNC(26.422*(1+Orcamento!$E$67),4)</f>
        <v>26.9979</v>
      </c>
      <c r="G97" s="59" t="s">
        <v>60</v>
      </c>
      <c r="H97" s="60" t="s">
        <v>61</v>
      </c>
      <c r="I97" s="79">
        <f t="shared" si="2"/>
        <v>202.4842</v>
      </c>
    </row>
    <row r="98" spans="1:9" s="10" customFormat="1" ht="14.25">
      <c r="A98" s="56" t="s">
        <v>16</v>
      </c>
      <c r="B98" s="57" t="s">
        <v>78</v>
      </c>
      <c r="C98" s="66" t="s">
        <v>79</v>
      </c>
      <c r="D98" s="67">
        <f>ROUND((D95)/176,4)</f>
        <v>0.0852</v>
      </c>
      <c r="E98" s="58"/>
      <c r="F98" s="79">
        <f>TRUNC(171.37*(1+Orcamento!$E$65),4)</f>
        <v>189.4323</v>
      </c>
      <c r="G98" s="74" t="s">
        <v>80</v>
      </c>
      <c r="H98" s="69" t="s">
        <v>55</v>
      </c>
      <c r="I98" s="79">
        <f t="shared" si="2"/>
        <v>16.1396</v>
      </c>
    </row>
    <row r="99" spans="1:9" s="10" customFormat="1" ht="14.25">
      <c r="A99" s="56" t="s">
        <v>51</v>
      </c>
      <c r="B99" s="71" t="s">
        <v>81</v>
      </c>
      <c r="C99" s="72" t="s">
        <v>82</v>
      </c>
      <c r="D99" s="162">
        <f>ROUND((D95)/(176*12),4)</f>
        <v>0.0071</v>
      </c>
      <c r="E99" s="73"/>
      <c r="F99" s="79">
        <f>TRUNC(6461.72*(1+Orcamento!$E$66),4)</f>
        <v>6700.8036</v>
      </c>
      <c r="G99" s="68" t="s">
        <v>83</v>
      </c>
      <c r="H99" s="69" t="s">
        <v>84</v>
      </c>
      <c r="I99" s="79">
        <f t="shared" si="2"/>
        <v>47.5757</v>
      </c>
    </row>
    <row r="100" spans="1:9" ht="15">
      <c r="A100" s="56" t="s">
        <v>88</v>
      </c>
      <c r="B100" s="57" t="s">
        <v>35</v>
      </c>
      <c r="C100" s="56" t="s">
        <v>93</v>
      </c>
      <c r="D100" s="67">
        <f>ROUND(D95*1,4)</f>
        <v>15</v>
      </c>
      <c r="E100" s="58"/>
      <c r="F100" s="82">
        <f>TRUNC(0.35*(1+Orcamento!$E$65),4)</f>
        <v>0.3868</v>
      </c>
      <c r="G100" s="65" t="s">
        <v>80</v>
      </c>
      <c r="H100" s="60" t="s">
        <v>87</v>
      </c>
      <c r="I100" s="79">
        <f t="shared" si="2"/>
        <v>5.802</v>
      </c>
    </row>
    <row r="101" spans="1:9" ht="15">
      <c r="A101" s="56" t="s">
        <v>89</v>
      </c>
      <c r="B101" s="57" t="s">
        <v>36</v>
      </c>
      <c r="C101" s="56" t="s">
        <v>93</v>
      </c>
      <c r="D101" s="67">
        <f>ROUND(D100*0.5,4)</f>
        <v>7.5</v>
      </c>
      <c r="E101" s="58"/>
      <c r="F101" s="82">
        <f>TRUNC(5*(1+Orcamento!$E$65),4)</f>
        <v>5.527</v>
      </c>
      <c r="G101" s="65" t="s">
        <v>80</v>
      </c>
      <c r="H101" s="60" t="s">
        <v>85</v>
      </c>
      <c r="I101" s="79">
        <f t="shared" si="2"/>
        <v>41.4525</v>
      </c>
    </row>
    <row r="102" spans="1:9" ht="15">
      <c r="A102" s="6"/>
      <c r="B102" s="5"/>
      <c r="C102" s="7"/>
      <c r="D102" s="7"/>
      <c r="E102" s="7"/>
      <c r="I102" s="6"/>
    </row>
    <row r="103" spans="2:5" ht="15">
      <c r="B103" s="193"/>
      <c r="C103" s="6"/>
      <c r="D103" s="6"/>
      <c r="E103" s="6"/>
    </row>
    <row r="104" spans="1:9" ht="15">
      <c r="A104" s="44" t="s">
        <v>28</v>
      </c>
      <c r="B104" s="44" t="s">
        <v>29</v>
      </c>
      <c r="C104" s="45"/>
      <c r="D104" s="45"/>
      <c r="E104" s="45"/>
      <c r="F104" s="45"/>
      <c r="G104" s="46"/>
      <c r="H104" s="43" t="s">
        <v>68</v>
      </c>
      <c r="I104" s="43" t="s">
        <v>67</v>
      </c>
    </row>
    <row r="105" spans="1:9" ht="15">
      <c r="A105" s="47" t="s">
        <v>199</v>
      </c>
      <c r="B105" s="113" t="s">
        <v>135</v>
      </c>
      <c r="C105" s="114"/>
      <c r="D105" s="114"/>
      <c r="E105" s="114"/>
      <c r="F105" s="114"/>
      <c r="G105" s="115"/>
      <c r="H105" s="116" t="s">
        <v>10</v>
      </c>
      <c r="I105" s="117">
        <f>TRUNC(SUM(I107:I110),2)</f>
        <v>1992.48</v>
      </c>
    </row>
    <row r="106" spans="1:9" ht="15.75" customHeight="1">
      <c r="A106" s="49" t="s">
        <v>1</v>
      </c>
      <c r="B106" s="50" t="s">
        <v>2</v>
      </c>
      <c r="C106" s="50" t="s">
        <v>30</v>
      </c>
      <c r="D106" s="51" t="s">
        <v>31</v>
      </c>
      <c r="E106" s="52" t="s">
        <v>32</v>
      </c>
      <c r="F106" s="53" t="s">
        <v>4</v>
      </c>
      <c r="G106" s="54" t="s">
        <v>32</v>
      </c>
      <c r="H106" s="55"/>
      <c r="I106" s="51" t="s">
        <v>69</v>
      </c>
    </row>
    <row r="107" spans="1:9" ht="15">
      <c r="A107" s="56" t="s">
        <v>7</v>
      </c>
      <c r="B107" s="57" t="s">
        <v>149</v>
      </c>
      <c r="C107" s="56" t="s">
        <v>77</v>
      </c>
      <c r="D107" s="67">
        <v>17</v>
      </c>
      <c r="E107" s="58"/>
      <c r="F107" s="82">
        <f>TRUNC(((10698.03/220)*(1+1.111))*(1+Orcamento!$E$65),4)</f>
        <v>113.472</v>
      </c>
      <c r="G107" s="74" t="s">
        <v>80</v>
      </c>
      <c r="H107" s="60" t="s">
        <v>150</v>
      </c>
      <c r="I107" s="79">
        <f>TRUNC(D107*F107,4)</f>
        <v>1929.024</v>
      </c>
    </row>
    <row r="108" spans="1:9" ht="15">
      <c r="A108" s="56" t="s">
        <v>9</v>
      </c>
      <c r="B108" s="57" t="s">
        <v>151</v>
      </c>
      <c r="C108" s="56" t="s">
        <v>77</v>
      </c>
      <c r="D108" s="67">
        <f>D107</f>
        <v>17</v>
      </c>
      <c r="E108" s="58"/>
      <c r="F108" s="82">
        <f>107.37-105.1</f>
        <v>2.2700000000000102</v>
      </c>
      <c r="G108" s="74" t="s">
        <v>90</v>
      </c>
      <c r="H108" s="60" t="s">
        <v>137</v>
      </c>
      <c r="I108" s="79">
        <f>TRUNC(D108*F108,4)</f>
        <v>38.59</v>
      </c>
    </row>
    <row r="109" spans="1:9" s="10" customFormat="1" ht="14.25">
      <c r="A109" s="56">
        <v>2</v>
      </c>
      <c r="B109" s="57" t="s">
        <v>78</v>
      </c>
      <c r="C109" s="66" t="s">
        <v>79</v>
      </c>
      <c r="D109" s="80">
        <f>ROUND((D107)/176,6)</f>
        <v>0.096591</v>
      </c>
      <c r="E109" s="58"/>
      <c r="F109" s="79">
        <f>TRUNC(171.37*(1+Orcamento!$E$65),4)</f>
        <v>189.4323</v>
      </c>
      <c r="G109" s="74" t="s">
        <v>80</v>
      </c>
      <c r="H109" s="69" t="s">
        <v>55</v>
      </c>
      <c r="I109" s="79">
        <f>TRUNC(D109*F109,4)</f>
        <v>18.2974</v>
      </c>
    </row>
    <row r="110" spans="1:9" ht="15">
      <c r="A110" s="56">
        <v>3</v>
      </c>
      <c r="B110" s="57" t="s">
        <v>35</v>
      </c>
      <c r="C110" s="56" t="s">
        <v>93</v>
      </c>
      <c r="D110" s="67">
        <f>ROUND(D107*1,4)</f>
        <v>17</v>
      </c>
      <c r="E110" s="58"/>
      <c r="F110" s="82">
        <f>TRUNC(0.35*(1+Orcamento!$E$65),4)</f>
        <v>0.3868</v>
      </c>
      <c r="G110" s="65" t="s">
        <v>80</v>
      </c>
      <c r="H110" s="60" t="s">
        <v>87</v>
      </c>
      <c r="I110" s="79">
        <f>TRUNC(D110*F110,4)</f>
        <v>6.5756</v>
      </c>
    </row>
    <row r="111" ht="15">
      <c r="B111" s="193"/>
    </row>
    <row r="112" spans="2:5" ht="15">
      <c r="B112" s="193"/>
      <c r="C112" s="6"/>
      <c r="D112" s="6"/>
      <c r="E112" s="6"/>
    </row>
    <row r="113" spans="1:9" ht="15">
      <c r="A113" s="44" t="s">
        <v>28</v>
      </c>
      <c r="B113" s="44" t="s">
        <v>29</v>
      </c>
      <c r="C113" s="45"/>
      <c r="D113" s="45"/>
      <c r="E113" s="45"/>
      <c r="F113" s="45"/>
      <c r="G113" s="46"/>
      <c r="H113" s="43" t="s">
        <v>68</v>
      </c>
      <c r="I113" s="43" t="s">
        <v>67</v>
      </c>
    </row>
    <row r="114" spans="1:9" ht="15">
      <c r="A114" s="47" t="s">
        <v>19</v>
      </c>
      <c r="B114" s="113" t="s">
        <v>136</v>
      </c>
      <c r="C114" s="114"/>
      <c r="D114" s="114"/>
      <c r="E114" s="114"/>
      <c r="F114" s="114"/>
      <c r="G114" s="115"/>
      <c r="H114" s="116" t="s">
        <v>10</v>
      </c>
      <c r="I114" s="117">
        <f>TRUNC(SUM(I116:I119),2)</f>
        <v>1321.63</v>
      </c>
    </row>
    <row r="115" spans="1:9" ht="15.75" customHeight="1">
      <c r="A115" s="49" t="s">
        <v>1</v>
      </c>
      <c r="B115" s="50" t="s">
        <v>2</v>
      </c>
      <c r="C115" s="50" t="s">
        <v>30</v>
      </c>
      <c r="D115" s="51" t="s">
        <v>31</v>
      </c>
      <c r="E115" s="52" t="s">
        <v>32</v>
      </c>
      <c r="F115" s="53" t="s">
        <v>4</v>
      </c>
      <c r="G115" s="54" t="s">
        <v>32</v>
      </c>
      <c r="H115" s="55"/>
      <c r="I115" s="51" t="s">
        <v>69</v>
      </c>
    </row>
    <row r="116" spans="1:9" ht="15">
      <c r="A116" s="56" t="s">
        <v>7</v>
      </c>
      <c r="B116" s="57" t="s">
        <v>152</v>
      </c>
      <c r="C116" s="56" t="s">
        <v>77</v>
      </c>
      <c r="D116" s="67">
        <v>18</v>
      </c>
      <c r="E116" s="58"/>
      <c r="F116" s="82">
        <f>TRUNC(((6570.39/220)*(1+1.111))*(1+Orcamento!$E$65),4)</f>
        <v>69.6909</v>
      </c>
      <c r="G116" s="74" t="s">
        <v>80</v>
      </c>
      <c r="H116" s="60" t="s">
        <v>107</v>
      </c>
      <c r="I116" s="79">
        <f>TRUNC(D116*F116,4)</f>
        <v>1254.4362</v>
      </c>
    </row>
    <row r="117" spans="1:9" ht="15">
      <c r="A117" s="56" t="s">
        <v>9</v>
      </c>
      <c r="B117" s="57" t="s">
        <v>153</v>
      </c>
      <c r="C117" s="56" t="s">
        <v>77</v>
      </c>
      <c r="D117" s="67">
        <f>D116</f>
        <v>18</v>
      </c>
      <c r="E117" s="58"/>
      <c r="F117" s="82">
        <f>107.37-105.1</f>
        <v>2.2700000000000102</v>
      </c>
      <c r="G117" s="74" t="s">
        <v>90</v>
      </c>
      <c r="H117" s="60" t="s">
        <v>137</v>
      </c>
      <c r="I117" s="79">
        <f>TRUNC(D117*F117,4)</f>
        <v>40.86</v>
      </c>
    </row>
    <row r="118" spans="1:9" s="10" customFormat="1" ht="14.25">
      <c r="A118" s="56">
        <v>2</v>
      </c>
      <c r="B118" s="57" t="s">
        <v>78</v>
      </c>
      <c r="C118" s="66" t="s">
        <v>79</v>
      </c>
      <c r="D118" s="67">
        <f>ROUND((D117)/176,4)</f>
        <v>0.1023</v>
      </c>
      <c r="E118" s="58"/>
      <c r="F118" s="79">
        <f>TRUNC(171.37*(1+Orcamento!$E$65),4)</f>
        <v>189.4323</v>
      </c>
      <c r="G118" s="74" t="s">
        <v>80</v>
      </c>
      <c r="H118" s="69" t="s">
        <v>55</v>
      </c>
      <c r="I118" s="79">
        <f>TRUNC(D118*F118,4)</f>
        <v>19.3789</v>
      </c>
    </row>
    <row r="119" spans="1:9" ht="15">
      <c r="A119" s="56">
        <v>3</v>
      </c>
      <c r="B119" s="57" t="s">
        <v>35</v>
      </c>
      <c r="C119" s="56" t="s">
        <v>93</v>
      </c>
      <c r="D119" s="67">
        <f>ROUND(D117*1,4)</f>
        <v>18</v>
      </c>
      <c r="E119" s="58"/>
      <c r="F119" s="82">
        <f>TRUNC(0.35*(1+Orcamento!$E$65),4)</f>
        <v>0.3868</v>
      </c>
      <c r="G119" s="65" t="s">
        <v>80</v>
      </c>
      <c r="H119" s="60" t="s">
        <v>87</v>
      </c>
      <c r="I119" s="79">
        <f>TRUNC(D119*F119,4)</f>
        <v>6.9624</v>
      </c>
    </row>
    <row r="120" ht="15">
      <c r="B120" s="193"/>
    </row>
    <row r="121" spans="2:5" ht="15">
      <c r="B121" s="193"/>
      <c r="C121" s="6"/>
      <c r="D121" s="6"/>
      <c r="E121" s="6"/>
    </row>
    <row r="122" spans="1:9" ht="15">
      <c r="A122" s="44" t="s">
        <v>28</v>
      </c>
      <c r="B122" s="44" t="s">
        <v>29</v>
      </c>
      <c r="C122" s="45"/>
      <c r="D122" s="45"/>
      <c r="E122" s="45"/>
      <c r="F122" s="45"/>
      <c r="G122" s="46"/>
      <c r="H122" s="43" t="s">
        <v>68</v>
      </c>
      <c r="I122" s="43" t="s">
        <v>67</v>
      </c>
    </row>
    <row r="123" spans="1:9" ht="15">
      <c r="A123" s="47" t="s">
        <v>20</v>
      </c>
      <c r="B123" s="113" t="s">
        <v>202</v>
      </c>
      <c r="C123" s="114"/>
      <c r="D123" s="114"/>
      <c r="E123" s="114"/>
      <c r="F123" s="114"/>
      <c r="G123" s="115"/>
      <c r="H123" s="116" t="s">
        <v>10</v>
      </c>
      <c r="I123" s="117">
        <f>TRUNC(SUM(I125:I127),2)</f>
        <v>1797.89</v>
      </c>
    </row>
    <row r="124" spans="1:9" ht="15.75" customHeight="1">
      <c r="A124" s="49" t="s">
        <v>1</v>
      </c>
      <c r="B124" s="50" t="s">
        <v>2</v>
      </c>
      <c r="C124" s="50" t="s">
        <v>30</v>
      </c>
      <c r="D124" s="51" t="s">
        <v>31</v>
      </c>
      <c r="E124" s="52" t="s">
        <v>32</v>
      </c>
      <c r="F124" s="53" t="s">
        <v>4</v>
      </c>
      <c r="G124" s="54" t="s">
        <v>32</v>
      </c>
      <c r="H124" s="55"/>
      <c r="I124" s="51" t="s">
        <v>69</v>
      </c>
    </row>
    <row r="125" spans="1:9" ht="15">
      <c r="A125" s="56">
        <v>1</v>
      </c>
      <c r="B125" s="57" t="s">
        <v>203</v>
      </c>
      <c r="C125" s="56" t="s">
        <v>77</v>
      </c>
      <c r="D125" s="67">
        <v>18</v>
      </c>
      <c r="E125" s="58"/>
      <c r="F125" s="82">
        <v>98.42</v>
      </c>
      <c r="G125" s="59" t="s">
        <v>62</v>
      </c>
      <c r="H125" s="60">
        <v>90769</v>
      </c>
      <c r="I125" s="79">
        <f>TRUNC(D125*F125,4)</f>
        <v>1771.56</v>
      </c>
    </row>
    <row r="126" spans="1:9" s="10" customFormat="1" ht="14.25">
      <c r="A126" s="56">
        <v>2</v>
      </c>
      <c r="B126" s="57" t="s">
        <v>78</v>
      </c>
      <c r="C126" s="66" t="s">
        <v>79</v>
      </c>
      <c r="D126" s="80">
        <f>ROUND((D125)/176,6)</f>
        <v>0.102273</v>
      </c>
      <c r="E126" s="58"/>
      <c r="F126" s="79">
        <f>TRUNC(171.37*(1+Orcamento!$E$65),4)</f>
        <v>189.4323</v>
      </c>
      <c r="G126" s="74" t="s">
        <v>80</v>
      </c>
      <c r="H126" s="69" t="s">
        <v>55</v>
      </c>
      <c r="I126" s="79">
        <f>TRUNC(D126*F126,4)</f>
        <v>19.3738</v>
      </c>
    </row>
    <row r="127" spans="1:9" ht="15">
      <c r="A127" s="56">
        <v>3</v>
      </c>
      <c r="B127" s="57" t="s">
        <v>35</v>
      </c>
      <c r="C127" s="56" t="s">
        <v>93</v>
      </c>
      <c r="D127" s="67">
        <f>ROUND(D125*1,4)</f>
        <v>18</v>
      </c>
      <c r="E127" s="58"/>
      <c r="F127" s="82">
        <f>TRUNC(0.35*(1+Orcamento!$E$65),4)</f>
        <v>0.3868</v>
      </c>
      <c r="G127" s="65" t="s">
        <v>80</v>
      </c>
      <c r="H127" s="60" t="s">
        <v>87</v>
      </c>
      <c r="I127" s="79">
        <f>TRUNC(D127*F127,4)</f>
        <v>6.9624</v>
      </c>
    </row>
    <row r="128" ht="15">
      <c r="B128" s="193"/>
    </row>
    <row r="129" spans="2:5" ht="15">
      <c r="B129" s="193"/>
      <c r="C129" s="6"/>
      <c r="D129" s="6"/>
      <c r="E129" s="6"/>
    </row>
    <row r="130" spans="1:9" ht="15">
      <c r="A130" s="44" t="s">
        <v>28</v>
      </c>
      <c r="B130" s="44" t="s">
        <v>29</v>
      </c>
      <c r="C130" s="45"/>
      <c r="D130" s="45"/>
      <c r="E130" s="45"/>
      <c r="F130" s="45"/>
      <c r="G130" s="46"/>
      <c r="H130" s="43" t="s">
        <v>68</v>
      </c>
      <c r="I130" s="43" t="s">
        <v>67</v>
      </c>
    </row>
    <row r="131" spans="1:9" ht="15">
      <c r="A131" s="47" t="s">
        <v>201</v>
      </c>
      <c r="B131" s="113" t="s">
        <v>254</v>
      </c>
      <c r="C131" s="114"/>
      <c r="D131" s="114"/>
      <c r="E131" s="114"/>
      <c r="F131" s="114"/>
      <c r="G131" s="115"/>
      <c r="H131" s="116" t="s">
        <v>10</v>
      </c>
      <c r="I131" s="117">
        <f>TRUNC(SUM(I133:I135),2)</f>
        <v>4394.85</v>
      </c>
    </row>
    <row r="132" spans="1:9" ht="15.75" customHeight="1">
      <c r="A132" s="49" t="s">
        <v>1</v>
      </c>
      <c r="B132" s="50" t="s">
        <v>2</v>
      </c>
      <c r="C132" s="50" t="s">
        <v>30</v>
      </c>
      <c r="D132" s="51" t="s">
        <v>31</v>
      </c>
      <c r="E132" s="52" t="s">
        <v>32</v>
      </c>
      <c r="F132" s="53" t="s">
        <v>4</v>
      </c>
      <c r="G132" s="54" t="s">
        <v>32</v>
      </c>
      <c r="H132" s="55"/>
      <c r="I132" s="51" t="s">
        <v>69</v>
      </c>
    </row>
    <row r="133" spans="1:9" ht="15">
      <c r="A133" s="56">
        <v>1</v>
      </c>
      <c r="B133" s="57" t="s">
        <v>203</v>
      </c>
      <c r="C133" s="56" t="s">
        <v>77</v>
      </c>
      <c r="D133" s="67">
        <v>44</v>
      </c>
      <c r="E133" s="58"/>
      <c r="F133" s="82">
        <v>98.42</v>
      </c>
      <c r="G133" s="59" t="s">
        <v>62</v>
      </c>
      <c r="H133" s="60">
        <v>90769</v>
      </c>
      <c r="I133" s="79">
        <f>TRUNC(D133*F133,4)</f>
        <v>4330.48</v>
      </c>
    </row>
    <row r="134" spans="1:9" s="10" customFormat="1" ht="14.25">
      <c r="A134" s="56">
        <v>2</v>
      </c>
      <c r="B134" s="57" t="s">
        <v>78</v>
      </c>
      <c r="C134" s="66" t="s">
        <v>79</v>
      </c>
      <c r="D134" s="80">
        <f>ROUND((D133)/176,6)</f>
        <v>0.25</v>
      </c>
      <c r="E134" s="58"/>
      <c r="F134" s="79">
        <f>TRUNC(171.37*(1+Orcamento!$E$65),4)</f>
        <v>189.4323</v>
      </c>
      <c r="G134" s="74" t="s">
        <v>80</v>
      </c>
      <c r="H134" s="69" t="s">
        <v>55</v>
      </c>
      <c r="I134" s="79">
        <f>TRUNC(D134*F134,4)</f>
        <v>47.358</v>
      </c>
    </row>
    <row r="135" spans="1:9" ht="15">
      <c r="A135" s="56">
        <v>3</v>
      </c>
      <c r="B135" s="57" t="s">
        <v>35</v>
      </c>
      <c r="C135" s="56" t="s">
        <v>93</v>
      </c>
      <c r="D135" s="67">
        <f>ROUND(D133*1,4)</f>
        <v>44</v>
      </c>
      <c r="E135" s="58"/>
      <c r="F135" s="82">
        <f>TRUNC(0.35*(1+Orcamento!$E$65),4)</f>
        <v>0.3868</v>
      </c>
      <c r="G135" s="65" t="s">
        <v>80</v>
      </c>
      <c r="H135" s="60" t="s">
        <v>87</v>
      </c>
      <c r="I135" s="79">
        <f>TRUNC(D135*F135,4)</f>
        <v>17.0192</v>
      </c>
    </row>
    <row r="136" ht="15">
      <c r="B136" s="193"/>
    </row>
    <row r="137" spans="2:5" ht="15">
      <c r="B137" s="193"/>
      <c r="C137" s="6"/>
      <c r="D137" s="6"/>
      <c r="E137" s="6"/>
    </row>
    <row r="138" spans="1:9" ht="15">
      <c r="A138" s="44" t="s">
        <v>28</v>
      </c>
      <c r="B138" s="44" t="s">
        <v>29</v>
      </c>
      <c r="C138" s="45"/>
      <c r="D138" s="45"/>
      <c r="E138" s="45"/>
      <c r="F138" s="45"/>
      <c r="G138" s="46"/>
      <c r="H138" s="43" t="s">
        <v>68</v>
      </c>
      <c r="I138" s="43" t="s">
        <v>67</v>
      </c>
    </row>
    <row r="139" spans="1:9" ht="15">
      <c r="A139" s="47" t="s">
        <v>21</v>
      </c>
      <c r="B139" s="113" t="s">
        <v>134</v>
      </c>
      <c r="C139" s="114"/>
      <c r="D139" s="114"/>
      <c r="E139" s="114"/>
      <c r="F139" s="114"/>
      <c r="G139" s="115"/>
      <c r="H139" s="116" t="s">
        <v>10</v>
      </c>
      <c r="I139" s="117">
        <f>TRUNC(SUM(I141:I143),2)</f>
        <v>2297.31</v>
      </c>
    </row>
    <row r="140" spans="1:9" ht="15.75" customHeight="1">
      <c r="A140" s="49" t="s">
        <v>1</v>
      </c>
      <c r="B140" s="50" t="s">
        <v>2</v>
      </c>
      <c r="C140" s="50" t="s">
        <v>30</v>
      </c>
      <c r="D140" s="51" t="s">
        <v>31</v>
      </c>
      <c r="E140" s="52" t="s">
        <v>32</v>
      </c>
      <c r="F140" s="53" t="s">
        <v>4</v>
      </c>
      <c r="G140" s="54" t="s">
        <v>32</v>
      </c>
      <c r="H140" s="55"/>
      <c r="I140" s="51" t="s">
        <v>69</v>
      </c>
    </row>
    <row r="141" spans="1:9" ht="15">
      <c r="A141" s="56">
        <v>1</v>
      </c>
      <c r="B141" s="57" t="s">
        <v>203</v>
      </c>
      <c r="C141" s="56" t="s">
        <v>77</v>
      </c>
      <c r="D141" s="67">
        <v>23</v>
      </c>
      <c r="E141" s="58"/>
      <c r="F141" s="82">
        <v>98.42</v>
      </c>
      <c r="G141" s="59" t="s">
        <v>62</v>
      </c>
      <c r="H141" s="60">
        <v>90769</v>
      </c>
      <c r="I141" s="79">
        <f>TRUNC(D141*F141,4)</f>
        <v>2263.66</v>
      </c>
    </row>
    <row r="142" spans="1:9" s="10" customFormat="1" ht="14.25">
      <c r="A142" s="56">
        <v>2</v>
      </c>
      <c r="B142" s="57" t="s">
        <v>78</v>
      </c>
      <c r="C142" s="66" t="s">
        <v>79</v>
      </c>
      <c r="D142" s="80">
        <f>ROUND((D141)/176,6)</f>
        <v>0.130682</v>
      </c>
      <c r="E142" s="58"/>
      <c r="F142" s="79">
        <f>TRUNC(171.37*(1+Orcamento!$E$65),4)</f>
        <v>189.4323</v>
      </c>
      <c r="G142" s="74" t="s">
        <v>80</v>
      </c>
      <c r="H142" s="69" t="s">
        <v>55</v>
      </c>
      <c r="I142" s="79">
        <f>TRUNC(D142*F142,4)</f>
        <v>24.7553</v>
      </c>
    </row>
    <row r="143" spans="1:9" ht="15">
      <c r="A143" s="56">
        <v>3</v>
      </c>
      <c r="B143" s="57" t="s">
        <v>35</v>
      </c>
      <c r="C143" s="56" t="s">
        <v>93</v>
      </c>
      <c r="D143" s="67">
        <f>ROUND(D141*1,4)</f>
        <v>23</v>
      </c>
      <c r="E143" s="58"/>
      <c r="F143" s="82">
        <f>TRUNC(0.35*(1+Orcamento!$E$65),4)</f>
        <v>0.3868</v>
      </c>
      <c r="G143" s="65" t="s">
        <v>80</v>
      </c>
      <c r="H143" s="60" t="s">
        <v>87</v>
      </c>
      <c r="I143" s="79">
        <f>TRUNC(D143*F143,4)</f>
        <v>8.8964</v>
      </c>
    </row>
    <row r="144" ht="15">
      <c r="B144" s="193"/>
    </row>
    <row r="145" spans="2:5" ht="15">
      <c r="B145" s="193"/>
      <c r="C145" s="6"/>
      <c r="D145" s="6"/>
      <c r="E145" s="6"/>
    </row>
    <row r="146" spans="1:9" ht="15">
      <c r="A146" s="44" t="s">
        <v>28</v>
      </c>
      <c r="B146" s="44" t="s">
        <v>29</v>
      </c>
      <c r="C146" s="45"/>
      <c r="D146" s="45"/>
      <c r="E146" s="45"/>
      <c r="F146" s="45"/>
      <c r="G146" s="46"/>
      <c r="H146" s="43" t="s">
        <v>68</v>
      </c>
      <c r="I146" s="43" t="s">
        <v>67</v>
      </c>
    </row>
    <row r="147" spans="1:9" ht="15">
      <c r="A147" s="47" t="s">
        <v>208</v>
      </c>
      <c r="B147" s="113" t="s">
        <v>255</v>
      </c>
      <c r="C147" s="114"/>
      <c r="D147" s="114"/>
      <c r="E147" s="114"/>
      <c r="F147" s="114"/>
      <c r="G147" s="115"/>
      <c r="H147" s="116" t="s">
        <v>10</v>
      </c>
      <c r="I147" s="117">
        <f>TRUNC(SUM(I149:I151),2)</f>
        <v>2197.42</v>
      </c>
    </row>
    <row r="148" spans="1:9" ht="15.75" customHeight="1">
      <c r="A148" s="49" t="s">
        <v>1</v>
      </c>
      <c r="B148" s="50" t="s">
        <v>2</v>
      </c>
      <c r="C148" s="50" t="s">
        <v>30</v>
      </c>
      <c r="D148" s="51" t="s">
        <v>31</v>
      </c>
      <c r="E148" s="52" t="s">
        <v>32</v>
      </c>
      <c r="F148" s="53" t="s">
        <v>4</v>
      </c>
      <c r="G148" s="54" t="s">
        <v>32</v>
      </c>
      <c r="H148" s="55"/>
      <c r="I148" s="51" t="s">
        <v>69</v>
      </c>
    </row>
    <row r="149" spans="1:9" ht="15">
      <c r="A149" s="56">
        <v>1</v>
      </c>
      <c r="B149" s="57" t="s">
        <v>203</v>
      </c>
      <c r="C149" s="56" t="s">
        <v>77</v>
      </c>
      <c r="D149" s="67">
        <v>22</v>
      </c>
      <c r="E149" s="58"/>
      <c r="F149" s="82">
        <v>98.42</v>
      </c>
      <c r="G149" s="59" t="s">
        <v>62</v>
      </c>
      <c r="H149" s="60">
        <v>90769</v>
      </c>
      <c r="I149" s="79">
        <f>TRUNC(D149*F149,4)</f>
        <v>2165.24</v>
      </c>
    </row>
    <row r="150" spans="1:9" s="10" customFormat="1" ht="14.25">
      <c r="A150" s="56">
        <v>2</v>
      </c>
      <c r="B150" s="57" t="s">
        <v>78</v>
      </c>
      <c r="C150" s="66" t="s">
        <v>79</v>
      </c>
      <c r="D150" s="80">
        <f>ROUND((D149)/176,6)</f>
        <v>0.125</v>
      </c>
      <c r="E150" s="58"/>
      <c r="F150" s="79">
        <f>TRUNC(171.37*(1+Orcamento!$E$65),4)</f>
        <v>189.4323</v>
      </c>
      <c r="G150" s="74" t="s">
        <v>80</v>
      </c>
      <c r="H150" s="69" t="s">
        <v>55</v>
      </c>
      <c r="I150" s="79">
        <f>TRUNC(D150*F150,4)</f>
        <v>23.679</v>
      </c>
    </row>
    <row r="151" spans="1:9" ht="15">
      <c r="A151" s="56">
        <v>3</v>
      </c>
      <c r="B151" s="57" t="s">
        <v>35</v>
      </c>
      <c r="C151" s="56" t="s">
        <v>93</v>
      </c>
      <c r="D151" s="67">
        <f>ROUND(D149*1,4)</f>
        <v>22</v>
      </c>
      <c r="E151" s="58"/>
      <c r="F151" s="82">
        <f>TRUNC(0.35*(1+Orcamento!$E$65),4)</f>
        <v>0.3868</v>
      </c>
      <c r="G151" s="65" t="s">
        <v>80</v>
      </c>
      <c r="H151" s="60" t="s">
        <v>87</v>
      </c>
      <c r="I151" s="79">
        <f>TRUNC(D151*F151,4)</f>
        <v>8.5096</v>
      </c>
    </row>
    <row r="152" ht="15">
      <c r="B152" s="193"/>
    </row>
    <row r="153" spans="2:5" ht="15">
      <c r="B153" s="193"/>
      <c r="C153" s="6"/>
      <c r="D153" s="6"/>
      <c r="E153" s="6"/>
    </row>
    <row r="154" spans="1:9" ht="15">
      <c r="A154" s="44" t="s">
        <v>28</v>
      </c>
      <c r="B154" s="44" t="s">
        <v>29</v>
      </c>
      <c r="C154" s="45"/>
      <c r="D154" s="45"/>
      <c r="E154" s="45"/>
      <c r="F154" s="45"/>
      <c r="G154" s="46"/>
      <c r="H154" s="43" t="s">
        <v>68</v>
      </c>
      <c r="I154" s="43" t="s">
        <v>67</v>
      </c>
    </row>
    <row r="155" spans="1:9" ht="15">
      <c r="A155" s="47" t="s">
        <v>22</v>
      </c>
      <c r="B155" s="113" t="s">
        <v>207</v>
      </c>
      <c r="C155" s="114"/>
      <c r="D155" s="114"/>
      <c r="E155" s="114"/>
      <c r="F155" s="114"/>
      <c r="G155" s="115"/>
      <c r="H155" s="116" t="s">
        <v>10</v>
      </c>
      <c r="I155" s="117">
        <f>TRUNC(SUM(I157:I161),2)</f>
        <v>3809.49</v>
      </c>
    </row>
    <row r="156" spans="1:9" ht="15.75" customHeight="1">
      <c r="A156" s="49" t="s">
        <v>1</v>
      </c>
      <c r="B156" s="50" t="s">
        <v>2</v>
      </c>
      <c r="C156" s="50" t="s">
        <v>30</v>
      </c>
      <c r="D156" s="51" t="s">
        <v>31</v>
      </c>
      <c r="E156" s="52" t="s">
        <v>32</v>
      </c>
      <c r="F156" s="53" t="s">
        <v>4</v>
      </c>
      <c r="G156" s="54" t="s">
        <v>32</v>
      </c>
      <c r="H156" s="55"/>
      <c r="I156" s="51" t="s">
        <v>69</v>
      </c>
    </row>
    <row r="157" spans="1:9" ht="15">
      <c r="A157" s="56">
        <v>1</v>
      </c>
      <c r="B157" s="57" t="s">
        <v>203</v>
      </c>
      <c r="C157" s="56" t="s">
        <v>77</v>
      </c>
      <c r="D157" s="67">
        <v>36</v>
      </c>
      <c r="E157" s="58"/>
      <c r="F157" s="82">
        <v>98.42</v>
      </c>
      <c r="G157" s="59" t="s">
        <v>62</v>
      </c>
      <c r="H157" s="60">
        <v>90769</v>
      </c>
      <c r="I157" s="79">
        <f>TRUNC(D157*F157,4)</f>
        <v>3543.12</v>
      </c>
    </row>
    <row r="158" spans="1:9" s="10" customFormat="1" ht="14.25">
      <c r="A158" s="56" t="s">
        <v>11</v>
      </c>
      <c r="B158" s="57" t="s">
        <v>78</v>
      </c>
      <c r="C158" s="66" t="s">
        <v>79</v>
      </c>
      <c r="D158" s="80">
        <f>ROUND((D157)/176,6)</f>
        <v>0.204545</v>
      </c>
      <c r="E158" s="58"/>
      <c r="F158" s="79">
        <f>TRUNC(171.37*(1+Orcamento!$E$65),4)</f>
        <v>189.4323</v>
      </c>
      <c r="G158" s="74" t="s">
        <v>80</v>
      </c>
      <c r="H158" s="69" t="s">
        <v>55</v>
      </c>
      <c r="I158" s="79">
        <f>TRUNC(D158*F158,4)</f>
        <v>38.7474</v>
      </c>
    </row>
    <row r="159" spans="1:9" s="10" customFormat="1" ht="14.25">
      <c r="A159" s="56" t="s">
        <v>13</v>
      </c>
      <c r="B159" s="71" t="s">
        <v>81</v>
      </c>
      <c r="C159" s="72" t="s">
        <v>82</v>
      </c>
      <c r="D159" s="81">
        <f>ROUND((D157)/(176*12),6)</f>
        <v>0.017045</v>
      </c>
      <c r="E159" s="73"/>
      <c r="F159" s="79">
        <f>TRUNC(6461.72*(1+Orcamento!$E$66),4)</f>
        <v>6700.8036</v>
      </c>
      <c r="G159" s="68" t="s">
        <v>83</v>
      </c>
      <c r="H159" s="69" t="s">
        <v>84</v>
      </c>
      <c r="I159" s="79">
        <f>TRUNC(D159*F159,4)</f>
        <v>114.2151</v>
      </c>
    </row>
    <row r="160" spans="1:9" ht="15">
      <c r="A160" s="56" t="s">
        <v>16</v>
      </c>
      <c r="B160" s="57" t="s">
        <v>35</v>
      </c>
      <c r="C160" s="56" t="s">
        <v>93</v>
      </c>
      <c r="D160" s="67">
        <f>ROUND(D157*1,4)</f>
        <v>36</v>
      </c>
      <c r="E160" s="58"/>
      <c r="F160" s="82">
        <f>TRUNC(0.35*(1+Orcamento!$E$65),4)</f>
        <v>0.3868</v>
      </c>
      <c r="G160" s="65" t="s">
        <v>80</v>
      </c>
      <c r="H160" s="60" t="s">
        <v>87</v>
      </c>
      <c r="I160" s="79">
        <f>TRUNC(D160*F160,4)</f>
        <v>13.9248</v>
      </c>
    </row>
    <row r="161" spans="1:9" ht="15">
      <c r="A161" s="56" t="s">
        <v>51</v>
      </c>
      <c r="B161" s="57" t="s">
        <v>36</v>
      </c>
      <c r="C161" s="56" t="s">
        <v>93</v>
      </c>
      <c r="D161" s="67">
        <f>ROUND(D160*0.5,4)</f>
        <v>18</v>
      </c>
      <c r="E161" s="58"/>
      <c r="F161" s="82">
        <f>TRUNC(5*(1+Orcamento!$E$65),4)</f>
        <v>5.527</v>
      </c>
      <c r="G161" s="65" t="s">
        <v>80</v>
      </c>
      <c r="H161" s="60" t="s">
        <v>85</v>
      </c>
      <c r="I161" s="79">
        <f>TRUNC(D161*F161,4)</f>
        <v>99.486</v>
      </c>
    </row>
    <row r="162" ht="15">
      <c r="B162" s="193"/>
    </row>
    <row r="163" spans="2:5" ht="15">
      <c r="B163" s="193"/>
      <c r="C163" s="6"/>
      <c r="D163" s="6"/>
      <c r="E163" s="6"/>
    </row>
    <row r="164" spans="1:9" ht="15">
      <c r="A164" s="44" t="s">
        <v>28</v>
      </c>
      <c r="B164" s="44" t="s">
        <v>29</v>
      </c>
      <c r="C164" s="45"/>
      <c r="D164" s="45"/>
      <c r="E164" s="45"/>
      <c r="F164" s="45"/>
      <c r="G164" s="46"/>
      <c r="H164" s="43" t="s">
        <v>68</v>
      </c>
      <c r="I164" s="43" t="s">
        <v>67</v>
      </c>
    </row>
    <row r="165" spans="1:9" ht="15">
      <c r="A165" s="47" t="s">
        <v>48</v>
      </c>
      <c r="B165" s="113" t="s">
        <v>205</v>
      </c>
      <c r="C165" s="114"/>
      <c r="D165" s="114"/>
      <c r="E165" s="114"/>
      <c r="F165" s="114"/>
      <c r="G165" s="115"/>
      <c r="H165" s="116" t="s">
        <v>10</v>
      </c>
      <c r="I165" s="117">
        <f>TRUNC(SUM(I167:I171),2)</f>
        <v>23386.07</v>
      </c>
    </row>
    <row r="166" spans="1:9" ht="15.75" customHeight="1">
      <c r="A166" s="49" t="s">
        <v>1</v>
      </c>
      <c r="B166" s="50" t="s">
        <v>2</v>
      </c>
      <c r="C166" s="50" t="s">
        <v>30</v>
      </c>
      <c r="D166" s="51" t="s">
        <v>31</v>
      </c>
      <c r="E166" s="52" t="s">
        <v>32</v>
      </c>
      <c r="F166" s="53" t="s">
        <v>4</v>
      </c>
      <c r="G166" s="54" t="s">
        <v>32</v>
      </c>
      <c r="H166" s="55"/>
      <c r="I166" s="51" t="s">
        <v>69</v>
      </c>
    </row>
    <row r="167" spans="1:9" ht="15">
      <c r="A167" s="56">
        <v>1</v>
      </c>
      <c r="B167" s="57" t="s">
        <v>203</v>
      </c>
      <c r="C167" s="56" t="s">
        <v>77</v>
      </c>
      <c r="D167" s="67">
        <v>221</v>
      </c>
      <c r="E167" s="58"/>
      <c r="F167" s="82">
        <v>98.42</v>
      </c>
      <c r="G167" s="59" t="s">
        <v>62</v>
      </c>
      <c r="H167" s="60">
        <v>90769</v>
      </c>
      <c r="I167" s="79">
        <f>TRUNC(D167*F167,4)</f>
        <v>21750.82</v>
      </c>
    </row>
    <row r="168" spans="1:9" s="10" customFormat="1" ht="14.25">
      <c r="A168" s="56" t="s">
        <v>11</v>
      </c>
      <c r="B168" s="57" t="s">
        <v>78</v>
      </c>
      <c r="C168" s="66" t="s">
        <v>79</v>
      </c>
      <c r="D168" s="80">
        <f>ROUND((D167)/176,6)</f>
        <v>1.255682</v>
      </c>
      <c r="E168" s="58"/>
      <c r="F168" s="79">
        <f>TRUNC(171.37*(1+Orcamento!$E$65),4)</f>
        <v>189.4323</v>
      </c>
      <c r="G168" s="74" t="s">
        <v>80</v>
      </c>
      <c r="H168" s="69" t="s">
        <v>55</v>
      </c>
      <c r="I168" s="79">
        <f>TRUNC(D168*F168,4)</f>
        <v>237.8667</v>
      </c>
    </row>
    <row r="169" spans="1:9" s="10" customFormat="1" ht="14.25">
      <c r="A169" s="56" t="s">
        <v>13</v>
      </c>
      <c r="B169" s="71" t="s">
        <v>81</v>
      </c>
      <c r="C169" s="72" t="s">
        <v>82</v>
      </c>
      <c r="D169" s="81">
        <f>ROUND((D167)/(176*12),6)</f>
        <v>0.10464</v>
      </c>
      <c r="E169" s="73"/>
      <c r="F169" s="79">
        <f>TRUNC(6461.72*(1+Orcamento!$E$66),4)</f>
        <v>6700.8036</v>
      </c>
      <c r="G169" s="68" t="s">
        <v>83</v>
      </c>
      <c r="H169" s="69" t="s">
        <v>84</v>
      </c>
      <c r="I169" s="79">
        <f>TRUNC(D169*F169,4)</f>
        <v>701.172</v>
      </c>
    </row>
    <row r="170" spans="1:9" ht="15">
      <c r="A170" s="56" t="s">
        <v>16</v>
      </c>
      <c r="B170" s="57" t="s">
        <v>35</v>
      </c>
      <c r="C170" s="56" t="s">
        <v>93</v>
      </c>
      <c r="D170" s="67">
        <f>ROUND(D167*1,4)</f>
        <v>221</v>
      </c>
      <c r="E170" s="58"/>
      <c r="F170" s="82">
        <f>TRUNC(0.35*(1+Orcamento!$E$65),4)</f>
        <v>0.3868</v>
      </c>
      <c r="G170" s="65" t="s">
        <v>80</v>
      </c>
      <c r="H170" s="60" t="s">
        <v>87</v>
      </c>
      <c r="I170" s="79">
        <f>TRUNC(D170*F170,4)</f>
        <v>85.4828</v>
      </c>
    </row>
    <row r="171" spans="1:9" ht="15">
      <c r="A171" s="56" t="s">
        <v>51</v>
      </c>
      <c r="B171" s="57" t="s">
        <v>36</v>
      </c>
      <c r="C171" s="56" t="s">
        <v>93</v>
      </c>
      <c r="D171" s="67">
        <f>ROUND(D170*0.5,4)</f>
        <v>110.5</v>
      </c>
      <c r="E171" s="58"/>
      <c r="F171" s="82">
        <f>TRUNC(5*(1+Orcamento!$E$65),4)</f>
        <v>5.527</v>
      </c>
      <c r="G171" s="65" t="s">
        <v>80</v>
      </c>
      <c r="H171" s="60" t="s">
        <v>85</v>
      </c>
      <c r="I171" s="79">
        <f>TRUNC(D171*F171,4)</f>
        <v>610.7335</v>
      </c>
    </row>
    <row r="172" ht="15">
      <c r="B172" s="193"/>
    </row>
    <row r="173" spans="2:5" ht="15">
      <c r="B173" s="193"/>
      <c r="C173" s="6"/>
      <c r="D173" s="6"/>
      <c r="E173" s="6"/>
    </row>
    <row r="174" spans="1:9" ht="15">
      <c r="A174" s="44" t="s">
        <v>28</v>
      </c>
      <c r="B174" s="44" t="s">
        <v>29</v>
      </c>
      <c r="C174" s="45"/>
      <c r="D174" s="45"/>
      <c r="E174" s="45"/>
      <c r="F174" s="45"/>
      <c r="G174" s="46"/>
      <c r="H174" s="43" t="s">
        <v>68</v>
      </c>
      <c r="I174" s="43" t="s">
        <v>67</v>
      </c>
    </row>
    <row r="175" spans="1:9" ht="15">
      <c r="A175" s="47" t="s">
        <v>49</v>
      </c>
      <c r="B175" s="113" t="s">
        <v>76</v>
      </c>
      <c r="C175" s="114"/>
      <c r="D175" s="114"/>
      <c r="E175" s="114"/>
      <c r="F175" s="114"/>
      <c r="G175" s="115"/>
      <c r="H175" s="116" t="s">
        <v>10</v>
      </c>
      <c r="I175" s="117">
        <f>TRUNC(SUM(I177:I181),2)</f>
        <v>8837.23</v>
      </c>
    </row>
    <row r="176" spans="1:9" ht="15.75" customHeight="1">
      <c r="A176" s="49" t="s">
        <v>1</v>
      </c>
      <c r="B176" s="50" t="s">
        <v>2</v>
      </c>
      <c r="C176" s="50" t="s">
        <v>30</v>
      </c>
      <c r="D176" s="51" t="s">
        <v>31</v>
      </c>
      <c r="E176" s="52" t="s">
        <v>32</v>
      </c>
      <c r="F176" s="53" t="s">
        <v>4</v>
      </c>
      <c r="G176" s="54" t="s">
        <v>32</v>
      </c>
      <c r="H176" s="55"/>
      <c r="I176" s="51" t="s">
        <v>69</v>
      </c>
    </row>
    <row r="177" spans="1:9" ht="15">
      <c r="A177" s="56">
        <v>1</v>
      </c>
      <c r="B177" s="57" t="s">
        <v>37</v>
      </c>
      <c r="C177" s="56" t="s">
        <v>77</v>
      </c>
      <c r="D177" s="67">
        <v>77</v>
      </c>
      <c r="E177" s="58"/>
      <c r="F177" s="82">
        <v>107.37</v>
      </c>
      <c r="G177" s="59" t="s">
        <v>62</v>
      </c>
      <c r="H177" s="60">
        <v>90778</v>
      </c>
      <c r="I177" s="79">
        <f>TRUNC(D177*F177,4)</f>
        <v>8267.49</v>
      </c>
    </row>
    <row r="178" spans="1:9" s="10" customFormat="1" ht="14.25">
      <c r="A178" s="56" t="s">
        <v>11</v>
      </c>
      <c r="B178" s="57" t="s">
        <v>78</v>
      </c>
      <c r="C178" s="66" t="s">
        <v>79</v>
      </c>
      <c r="D178" s="80">
        <f>ROUND((D177)/176,6)</f>
        <v>0.4375</v>
      </c>
      <c r="E178" s="58"/>
      <c r="F178" s="79">
        <f>TRUNC(171.37*(1+Orcamento!$E$65),4)</f>
        <v>189.4323</v>
      </c>
      <c r="G178" s="74" t="s">
        <v>80</v>
      </c>
      <c r="H178" s="69" t="s">
        <v>55</v>
      </c>
      <c r="I178" s="79">
        <f>TRUNC(D178*F178,4)</f>
        <v>82.8766</v>
      </c>
    </row>
    <row r="179" spans="1:9" s="10" customFormat="1" ht="14.25">
      <c r="A179" s="56" t="s">
        <v>13</v>
      </c>
      <c r="B179" s="71" t="s">
        <v>81</v>
      </c>
      <c r="C179" s="72" t="s">
        <v>82</v>
      </c>
      <c r="D179" s="81">
        <f>ROUND((D177)/(176*12),6)</f>
        <v>0.036458</v>
      </c>
      <c r="E179" s="73"/>
      <c r="F179" s="79">
        <f>TRUNC(6461.72*(1+Orcamento!$E$66),4)</f>
        <v>6700.8036</v>
      </c>
      <c r="G179" s="68" t="s">
        <v>83</v>
      </c>
      <c r="H179" s="69" t="s">
        <v>84</v>
      </c>
      <c r="I179" s="79">
        <f>TRUNC(D179*F179,4)</f>
        <v>244.2978</v>
      </c>
    </row>
    <row r="180" spans="1:9" ht="15">
      <c r="A180" s="56" t="s">
        <v>16</v>
      </c>
      <c r="B180" s="57" t="s">
        <v>35</v>
      </c>
      <c r="C180" s="56" t="s">
        <v>93</v>
      </c>
      <c r="D180" s="67">
        <f>ROUND(D177*1,4)</f>
        <v>77</v>
      </c>
      <c r="E180" s="58"/>
      <c r="F180" s="82">
        <f>TRUNC(0.35*(1+Orcamento!$E$65),4)</f>
        <v>0.3868</v>
      </c>
      <c r="G180" s="65" t="s">
        <v>80</v>
      </c>
      <c r="H180" s="60" t="s">
        <v>87</v>
      </c>
      <c r="I180" s="79">
        <f>TRUNC(D180*F180,4)</f>
        <v>29.7836</v>
      </c>
    </row>
    <row r="181" spans="1:9" ht="15">
      <c r="A181" s="56" t="s">
        <v>51</v>
      </c>
      <c r="B181" s="57" t="s">
        <v>36</v>
      </c>
      <c r="C181" s="56" t="s">
        <v>93</v>
      </c>
      <c r="D181" s="67">
        <f>ROUND(D180*0.5,4)</f>
        <v>38.5</v>
      </c>
      <c r="E181" s="58"/>
      <c r="F181" s="82">
        <f>TRUNC(5*(1+Orcamento!$E$65),4)</f>
        <v>5.527</v>
      </c>
      <c r="G181" s="65" t="s">
        <v>80</v>
      </c>
      <c r="H181" s="60" t="s">
        <v>85</v>
      </c>
      <c r="I181" s="79">
        <f>TRUNC(D181*F181,4)</f>
        <v>212.7895</v>
      </c>
    </row>
    <row r="182" ht="15">
      <c r="B182" s="193"/>
    </row>
    <row r="183" spans="2:5" ht="15">
      <c r="B183" s="193"/>
      <c r="C183" s="6"/>
      <c r="D183" s="6"/>
      <c r="E183" s="6"/>
    </row>
    <row r="184" spans="1:9" ht="15">
      <c r="A184" s="44" t="s">
        <v>28</v>
      </c>
      <c r="B184" s="44" t="s">
        <v>29</v>
      </c>
      <c r="C184" s="45"/>
      <c r="D184" s="45"/>
      <c r="E184" s="45"/>
      <c r="F184" s="45"/>
      <c r="G184" s="46"/>
      <c r="H184" s="43" t="s">
        <v>68</v>
      </c>
      <c r="I184" s="43" t="s">
        <v>67</v>
      </c>
    </row>
    <row r="185" spans="1:9" ht="15">
      <c r="A185" s="47" t="s">
        <v>200</v>
      </c>
      <c r="B185" s="113" t="s">
        <v>112</v>
      </c>
      <c r="C185" s="114"/>
      <c r="D185" s="114"/>
      <c r="E185" s="114"/>
      <c r="F185" s="114"/>
      <c r="G185" s="115"/>
      <c r="H185" s="116" t="s">
        <v>10</v>
      </c>
      <c r="I185" s="117">
        <f>TRUNC(SUM(I187:I191),2)</f>
        <v>2639.69</v>
      </c>
    </row>
    <row r="186" spans="1:9" ht="15.75" customHeight="1">
      <c r="A186" s="49" t="s">
        <v>1</v>
      </c>
      <c r="B186" s="50" t="s">
        <v>2</v>
      </c>
      <c r="C186" s="50" t="s">
        <v>30</v>
      </c>
      <c r="D186" s="51" t="s">
        <v>31</v>
      </c>
      <c r="E186" s="52" t="s">
        <v>32</v>
      </c>
      <c r="F186" s="53" t="s">
        <v>4</v>
      </c>
      <c r="G186" s="54" t="s">
        <v>32</v>
      </c>
      <c r="H186" s="55"/>
      <c r="I186" s="51" t="s">
        <v>69</v>
      </c>
    </row>
    <row r="187" spans="1:9" ht="15">
      <c r="A187" s="56">
        <v>1</v>
      </c>
      <c r="B187" s="57" t="s">
        <v>37</v>
      </c>
      <c r="C187" s="56" t="s">
        <v>77</v>
      </c>
      <c r="D187" s="67">
        <v>23</v>
      </c>
      <c r="E187" s="58"/>
      <c r="F187" s="82">
        <v>107.37</v>
      </c>
      <c r="G187" s="59" t="s">
        <v>62</v>
      </c>
      <c r="H187" s="60">
        <v>90778</v>
      </c>
      <c r="I187" s="79">
        <f>TRUNC(D187*F187,4)</f>
        <v>2469.51</v>
      </c>
    </row>
    <row r="188" spans="1:9" s="10" customFormat="1" ht="14.25">
      <c r="A188" s="56" t="s">
        <v>11</v>
      </c>
      <c r="B188" s="57" t="s">
        <v>78</v>
      </c>
      <c r="C188" s="66" t="s">
        <v>79</v>
      </c>
      <c r="D188" s="80">
        <f>ROUND((D187)/176,6)</f>
        <v>0.130682</v>
      </c>
      <c r="E188" s="58"/>
      <c r="F188" s="79">
        <f>TRUNC(171.37*(1+Orcamento!$E$65),4)</f>
        <v>189.4323</v>
      </c>
      <c r="G188" s="74" t="s">
        <v>80</v>
      </c>
      <c r="H188" s="69" t="s">
        <v>55</v>
      </c>
      <c r="I188" s="79">
        <f>TRUNC(D188*F188,4)</f>
        <v>24.7553</v>
      </c>
    </row>
    <row r="189" spans="1:9" s="10" customFormat="1" ht="14.25">
      <c r="A189" s="56" t="s">
        <v>13</v>
      </c>
      <c r="B189" s="71" t="s">
        <v>81</v>
      </c>
      <c r="C189" s="72" t="s">
        <v>82</v>
      </c>
      <c r="D189" s="81">
        <f>ROUND((D187)/(176*12),6)</f>
        <v>0.01089</v>
      </c>
      <c r="E189" s="73"/>
      <c r="F189" s="79">
        <f>TRUNC(6461.72*(1+Orcamento!$E$66),4)</f>
        <v>6700.8036</v>
      </c>
      <c r="G189" s="68" t="s">
        <v>83</v>
      </c>
      <c r="H189" s="69" t="s">
        <v>84</v>
      </c>
      <c r="I189" s="79">
        <f>TRUNC(D189*F189,4)</f>
        <v>72.9717</v>
      </c>
    </row>
    <row r="190" spans="1:9" ht="15">
      <c r="A190" s="56" t="s">
        <v>16</v>
      </c>
      <c r="B190" s="57" t="s">
        <v>35</v>
      </c>
      <c r="C190" s="56" t="s">
        <v>93</v>
      </c>
      <c r="D190" s="67">
        <f>ROUND(D187*1,4)</f>
        <v>23</v>
      </c>
      <c r="E190" s="58"/>
      <c r="F190" s="82">
        <f>TRUNC(0.35*(1+Orcamento!$E$65),4)</f>
        <v>0.3868</v>
      </c>
      <c r="G190" s="65" t="s">
        <v>80</v>
      </c>
      <c r="H190" s="60" t="s">
        <v>87</v>
      </c>
      <c r="I190" s="79">
        <f>TRUNC(D190*F190,4)</f>
        <v>8.8964</v>
      </c>
    </row>
    <row r="191" spans="1:9" ht="15">
      <c r="A191" s="56" t="s">
        <v>51</v>
      </c>
      <c r="B191" s="57" t="s">
        <v>36</v>
      </c>
      <c r="C191" s="56" t="s">
        <v>93</v>
      </c>
      <c r="D191" s="67">
        <f>ROUND(D190*0.5,4)</f>
        <v>11.5</v>
      </c>
      <c r="E191" s="58"/>
      <c r="F191" s="82">
        <f>TRUNC(5*(1+Orcamento!$E$65),4)</f>
        <v>5.527</v>
      </c>
      <c r="G191" s="65" t="s">
        <v>80</v>
      </c>
      <c r="H191" s="60" t="s">
        <v>85</v>
      </c>
      <c r="I191" s="79">
        <f>TRUNC(D191*F191,4)</f>
        <v>63.5605</v>
      </c>
    </row>
    <row r="192" ht="15">
      <c r="B192" s="193"/>
    </row>
    <row r="193" spans="2:5" ht="15">
      <c r="B193" s="193"/>
      <c r="C193" s="6"/>
      <c r="D193" s="6"/>
      <c r="E193" s="6"/>
    </row>
    <row r="194" spans="1:9" ht="15">
      <c r="A194" s="44" t="s">
        <v>28</v>
      </c>
      <c r="B194" s="44" t="s">
        <v>29</v>
      </c>
      <c r="C194" s="45"/>
      <c r="D194" s="45"/>
      <c r="E194" s="45"/>
      <c r="F194" s="45"/>
      <c r="G194" s="46"/>
      <c r="H194" s="43" t="s">
        <v>68</v>
      </c>
      <c r="I194" s="43" t="s">
        <v>67</v>
      </c>
    </row>
    <row r="195" spans="1:9" ht="15">
      <c r="A195" s="47" t="s">
        <v>165</v>
      </c>
      <c r="B195" s="113" t="s">
        <v>160</v>
      </c>
      <c r="C195" s="114"/>
      <c r="D195" s="114"/>
      <c r="E195" s="114"/>
      <c r="F195" s="114"/>
      <c r="G195" s="115"/>
      <c r="H195" s="116" t="s">
        <v>10</v>
      </c>
      <c r="I195" s="117">
        <f>TRUNC(SUM(I197:I201),2)</f>
        <v>6886.16</v>
      </c>
    </row>
    <row r="196" spans="1:9" ht="15.75" customHeight="1">
      <c r="A196" s="49" t="s">
        <v>1</v>
      </c>
      <c r="B196" s="50" t="s">
        <v>2</v>
      </c>
      <c r="C196" s="50" t="s">
        <v>30</v>
      </c>
      <c r="D196" s="51" t="s">
        <v>31</v>
      </c>
      <c r="E196" s="52" t="s">
        <v>32</v>
      </c>
      <c r="F196" s="53" t="s">
        <v>4</v>
      </c>
      <c r="G196" s="54" t="s">
        <v>32</v>
      </c>
      <c r="H196" s="55"/>
      <c r="I196" s="51" t="s">
        <v>69</v>
      </c>
    </row>
    <row r="197" spans="1:9" ht="15">
      <c r="A197" s="56">
        <v>1</v>
      </c>
      <c r="B197" s="57" t="s">
        <v>37</v>
      </c>
      <c r="C197" s="56" t="s">
        <v>77</v>
      </c>
      <c r="D197" s="67">
        <v>60</v>
      </c>
      <c r="E197" s="58"/>
      <c r="F197" s="82">
        <v>107.37</v>
      </c>
      <c r="G197" s="59" t="s">
        <v>62</v>
      </c>
      <c r="H197" s="60">
        <v>90778</v>
      </c>
      <c r="I197" s="79">
        <f>TRUNC(D197*F197,4)</f>
        <v>6442.2</v>
      </c>
    </row>
    <row r="198" spans="1:9" s="10" customFormat="1" ht="14.25">
      <c r="A198" s="56" t="s">
        <v>11</v>
      </c>
      <c r="B198" s="57" t="s">
        <v>78</v>
      </c>
      <c r="C198" s="66" t="s">
        <v>79</v>
      </c>
      <c r="D198" s="80">
        <f>ROUND((D197)/176,6)</f>
        <v>0.340909</v>
      </c>
      <c r="E198" s="58"/>
      <c r="F198" s="79">
        <f>TRUNC(171.37*(1+Orcamento!$E$65),4)</f>
        <v>189.4323</v>
      </c>
      <c r="G198" s="74" t="s">
        <v>80</v>
      </c>
      <c r="H198" s="69" t="s">
        <v>55</v>
      </c>
      <c r="I198" s="79">
        <f>TRUNC(D198*F198,4)</f>
        <v>64.5791</v>
      </c>
    </row>
    <row r="199" spans="1:9" s="10" customFormat="1" ht="14.25">
      <c r="A199" s="56" t="s">
        <v>13</v>
      </c>
      <c r="B199" s="71" t="s">
        <v>81</v>
      </c>
      <c r="C199" s="72" t="s">
        <v>82</v>
      </c>
      <c r="D199" s="81">
        <f>ROUND((D197)/(176*12),6)</f>
        <v>0.028409</v>
      </c>
      <c r="E199" s="73"/>
      <c r="F199" s="79">
        <f>TRUNC(6461.72*(1+Orcamento!$E$66),4)</f>
        <v>6700.8036</v>
      </c>
      <c r="G199" s="68" t="s">
        <v>83</v>
      </c>
      <c r="H199" s="69" t="s">
        <v>84</v>
      </c>
      <c r="I199" s="79">
        <f>TRUNC(D199*F199,4)</f>
        <v>190.3631</v>
      </c>
    </row>
    <row r="200" spans="1:9" ht="15">
      <c r="A200" s="56" t="s">
        <v>16</v>
      </c>
      <c r="B200" s="57" t="s">
        <v>35</v>
      </c>
      <c r="C200" s="56" t="s">
        <v>93</v>
      </c>
      <c r="D200" s="67">
        <f>ROUND(D197*1,4)</f>
        <v>60</v>
      </c>
      <c r="E200" s="58"/>
      <c r="F200" s="82">
        <f>TRUNC(0.35*(1+Orcamento!$E$65),4)</f>
        <v>0.3868</v>
      </c>
      <c r="G200" s="65" t="s">
        <v>80</v>
      </c>
      <c r="H200" s="60" t="s">
        <v>87</v>
      </c>
      <c r="I200" s="79">
        <f>TRUNC(D200*F200,4)</f>
        <v>23.208</v>
      </c>
    </row>
    <row r="201" spans="1:9" ht="15">
      <c r="A201" s="56" t="s">
        <v>51</v>
      </c>
      <c r="B201" s="57" t="s">
        <v>36</v>
      </c>
      <c r="C201" s="56" t="s">
        <v>93</v>
      </c>
      <c r="D201" s="67">
        <f>ROUND(D200*0.5,4)</f>
        <v>30</v>
      </c>
      <c r="E201" s="58"/>
      <c r="F201" s="82">
        <f>TRUNC(5*(1+Orcamento!$E$65),4)</f>
        <v>5.527</v>
      </c>
      <c r="G201" s="65" t="s">
        <v>80</v>
      </c>
      <c r="H201" s="60" t="s">
        <v>85</v>
      </c>
      <c r="I201" s="79">
        <f>TRUNC(D201*F201,4)</f>
        <v>165.81</v>
      </c>
    </row>
    <row r="202" ht="15">
      <c r="B202" s="193"/>
    </row>
    <row r="203" spans="2:5" ht="15">
      <c r="B203" s="193"/>
      <c r="C203" s="6"/>
      <c r="D203" s="6"/>
      <c r="E203" s="6"/>
    </row>
    <row r="204" spans="1:9" ht="15">
      <c r="A204" s="44" t="s">
        <v>28</v>
      </c>
      <c r="B204" s="44" t="s">
        <v>29</v>
      </c>
      <c r="C204" s="45"/>
      <c r="D204" s="45"/>
      <c r="E204" s="45"/>
      <c r="F204" s="45"/>
      <c r="G204" s="46"/>
      <c r="H204" s="43" t="s">
        <v>68</v>
      </c>
      <c r="I204" s="43" t="s">
        <v>67</v>
      </c>
    </row>
    <row r="205" spans="1:9" ht="15">
      <c r="A205" s="47" t="s">
        <v>166</v>
      </c>
      <c r="B205" s="113" t="s">
        <v>122</v>
      </c>
      <c r="C205" s="114"/>
      <c r="D205" s="114"/>
      <c r="E205" s="114"/>
      <c r="F205" s="114"/>
      <c r="G205" s="115"/>
      <c r="H205" s="116" t="s">
        <v>10</v>
      </c>
      <c r="I205" s="117">
        <f>TRUNC(SUM(I207:I211),2)</f>
        <v>4249.49</v>
      </c>
    </row>
    <row r="206" spans="1:9" ht="15.75" customHeight="1">
      <c r="A206" s="49" t="s">
        <v>1</v>
      </c>
      <c r="B206" s="50" t="s">
        <v>2</v>
      </c>
      <c r="C206" s="50" t="s">
        <v>30</v>
      </c>
      <c r="D206" s="51" t="s">
        <v>31</v>
      </c>
      <c r="E206" s="52" t="s">
        <v>32</v>
      </c>
      <c r="F206" s="53" t="s">
        <v>4</v>
      </c>
      <c r="G206" s="54" t="s">
        <v>32</v>
      </c>
      <c r="H206" s="55"/>
      <c r="I206" s="51" t="s">
        <v>69</v>
      </c>
    </row>
    <row r="207" spans="1:9" ht="15">
      <c r="A207" s="56">
        <v>1</v>
      </c>
      <c r="B207" s="57" t="s">
        <v>38</v>
      </c>
      <c r="C207" s="56" t="s">
        <v>77</v>
      </c>
      <c r="D207" s="67">
        <v>43</v>
      </c>
      <c r="E207" s="58"/>
      <c r="F207" s="82">
        <v>91.42</v>
      </c>
      <c r="G207" s="59" t="s">
        <v>62</v>
      </c>
      <c r="H207" s="60">
        <v>91677</v>
      </c>
      <c r="I207" s="79">
        <f>TRUNC(D207*F207,4)</f>
        <v>3931.06</v>
      </c>
    </row>
    <row r="208" spans="1:9" s="10" customFormat="1" ht="14.25">
      <c r="A208" s="56" t="s">
        <v>11</v>
      </c>
      <c r="B208" s="57" t="s">
        <v>78</v>
      </c>
      <c r="C208" s="66" t="s">
        <v>79</v>
      </c>
      <c r="D208" s="67">
        <f>ROUND((D207)/176,4)</f>
        <v>0.2443</v>
      </c>
      <c r="E208" s="58"/>
      <c r="F208" s="79">
        <f>TRUNC(171.37*(1+Orcamento!$E$65),4)</f>
        <v>189.4323</v>
      </c>
      <c r="G208" s="74" t="s">
        <v>80</v>
      </c>
      <c r="H208" s="69" t="s">
        <v>55</v>
      </c>
      <c r="I208" s="79">
        <f>TRUNC(D208*F208,4)</f>
        <v>46.2783</v>
      </c>
    </row>
    <row r="209" spans="1:9" s="10" customFormat="1" ht="14.25">
      <c r="A209" s="56" t="s">
        <v>13</v>
      </c>
      <c r="B209" s="71" t="s">
        <v>81</v>
      </c>
      <c r="C209" s="72" t="s">
        <v>82</v>
      </c>
      <c r="D209" s="162">
        <f>ROUND((D207)/(176*12),4)</f>
        <v>0.0204</v>
      </c>
      <c r="E209" s="73"/>
      <c r="F209" s="79">
        <f>TRUNC(6461.72*(1+Orcamento!$E$66),4)</f>
        <v>6700.8036</v>
      </c>
      <c r="G209" s="68" t="s">
        <v>83</v>
      </c>
      <c r="H209" s="69" t="s">
        <v>84</v>
      </c>
      <c r="I209" s="79">
        <f>TRUNC(D209*F209,4)</f>
        <v>136.6963</v>
      </c>
    </row>
    <row r="210" spans="1:9" ht="15">
      <c r="A210" s="56" t="s">
        <v>16</v>
      </c>
      <c r="B210" s="57" t="s">
        <v>35</v>
      </c>
      <c r="C210" s="56" t="s">
        <v>93</v>
      </c>
      <c r="D210" s="67">
        <f>ROUND(D207*1,4)</f>
        <v>43</v>
      </c>
      <c r="E210" s="58"/>
      <c r="F210" s="82">
        <f>TRUNC(0.35*(1+Orcamento!$E$65),4)</f>
        <v>0.3868</v>
      </c>
      <c r="G210" s="65" t="s">
        <v>80</v>
      </c>
      <c r="H210" s="60" t="s">
        <v>87</v>
      </c>
      <c r="I210" s="79">
        <f>TRUNC(D210*F210,4)</f>
        <v>16.6324</v>
      </c>
    </row>
    <row r="211" spans="1:9" ht="15">
      <c r="A211" s="56" t="s">
        <v>51</v>
      </c>
      <c r="B211" s="57" t="s">
        <v>36</v>
      </c>
      <c r="C211" s="56" t="s">
        <v>93</v>
      </c>
      <c r="D211" s="67">
        <f>ROUND(D210*0.5,4)</f>
        <v>21.5</v>
      </c>
      <c r="E211" s="58"/>
      <c r="F211" s="82">
        <f>TRUNC(5*(1+Orcamento!$E$65),4)</f>
        <v>5.527</v>
      </c>
      <c r="G211" s="65" t="s">
        <v>80</v>
      </c>
      <c r="H211" s="60" t="s">
        <v>85</v>
      </c>
      <c r="I211" s="79">
        <f>TRUNC(D211*F211,4)</f>
        <v>118.8305</v>
      </c>
    </row>
    <row r="212" ht="15">
      <c r="B212" s="193"/>
    </row>
    <row r="213" spans="2:5" ht="15">
      <c r="B213" s="193"/>
      <c r="C213" s="6"/>
      <c r="D213" s="6"/>
      <c r="E213" s="6"/>
    </row>
    <row r="214" spans="1:9" ht="15">
      <c r="A214" s="44" t="s">
        <v>28</v>
      </c>
      <c r="B214" s="44" t="s">
        <v>29</v>
      </c>
      <c r="C214" s="45"/>
      <c r="D214" s="45"/>
      <c r="E214" s="45"/>
      <c r="F214" s="45"/>
      <c r="G214" s="46"/>
      <c r="H214" s="43" t="s">
        <v>68</v>
      </c>
      <c r="I214" s="43" t="s">
        <v>67</v>
      </c>
    </row>
    <row r="215" spans="1:9" ht="15">
      <c r="A215" s="47" t="s">
        <v>213</v>
      </c>
      <c r="B215" s="113" t="s">
        <v>118</v>
      </c>
      <c r="C215" s="114"/>
      <c r="D215" s="114"/>
      <c r="E215" s="114"/>
      <c r="F215" s="114"/>
      <c r="G215" s="115"/>
      <c r="H215" s="116" t="s">
        <v>10</v>
      </c>
      <c r="I215" s="117">
        <f>TRUNC(SUM(I217:I221),2)</f>
        <v>1679.6</v>
      </c>
    </row>
    <row r="216" spans="1:9" ht="15.75" customHeight="1">
      <c r="A216" s="49" t="s">
        <v>1</v>
      </c>
      <c r="B216" s="50" t="s">
        <v>2</v>
      </c>
      <c r="C216" s="50" t="s">
        <v>30</v>
      </c>
      <c r="D216" s="51" t="s">
        <v>31</v>
      </c>
      <c r="E216" s="52" t="s">
        <v>32</v>
      </c>
      <c r="F216" s="53" t="s">
        <v>4</v>
      </c>
      <c r="G216" s="54" t="s">
        <v>32</v>
      </c>
      <c r="H216" s="55"/>
      <c r="I216" s="51" t="s">
        <v>69</v>
      </c>
    </row>
    <row r="217" spans="1:9" ht="15">
      <c r="A217" s="56">
        <v>1</v>
      </c>
      <c r="B217" s="57" t="s">
        <v>38</v>
      </c>
      <c r="C217" s="56" t="s">
        <v>77</v>
      </c>
      <c r="D217" s="67">
        <v>17</v>
      </c>
      <c r="E217" s="58"/>
      <c r="F217" s="82">
        <v>91.42</v>
      </c>
      <c r="G217" s="59" t="s">
        <v>62</v>
      </c>
      <c r="H217" s="60">
        <v>91677</v>
      </c>
      <c r="I217" s="79">
        <f>TRUNC(D217*F217,4)</f>
        <v>1554.14</v>
      </c>
    </row>
    <row r="218" spans="1:9" s="10" customFormat="1" ht="14.25">
      <c r="A218" s="56" t="s">
        <v>11</v>
      </c>
      <c r="B218" s="57" t="s">
        <v>78</v>
      </c>
      <c r="C218" s="66" t="s">
        <v>79</v>
      </c>
      <c r="D218" s="67">
        <f>ROUND((D217)/176,4)</f>
        <v>0.0966</v>
      </c>
      <c r="E218" s="58"/>
      <c r="F218" s="79">
        <f>TRUNC(171.37*(1+Orcamento!$E$65),4)</f>
        <v>189.4323</v>
      </c>
      <c r="G218" s="74" t="s">
        <v>80</v>
      </c>
      <c r="H218" s="69" t="s">
        <v>55</v>
      </c>
      <c r="I218" s="79">
        <f>TRUNC(D218*F218,4)</f>
        <v>18.2991</v>
      </c>
    </row>
    <row r="219" spans="1:9" s="10" customFormat="1" ht="14.25">
      <c r="A219" s="56" t="s">
        <v>13</v>
      </c>
      <c r="B219" s="71" t="s">
        <v>81</v>
      </c>
      <c r="C219" s="72" t="s">
        <v>82</v>
      </c>
      <c r="D219" s="162">
        <f>ROUND((D217)/(176*12),4)</f>
        <v>0.008</v>
      </c>
      <c r="E219" s="73"/>
      <c r="F219" s="79">
        <f>TRUNC(6461.72*(1+Orcamento!$E$66),4)</f>
        <v>6700.8036</v>
      </c>
      <c r="G219" s="68" t="s">
        <v>83</v>
      </c>
      <c r="H219" s="69" t="s">
        <v>84</v>
      </c>
      <c r="I219" s="79">
        <f>TRUNC(D219*F219,4)</f>
        <v>53.6064</v>
      </c>
    </row>
    <row r="220" spans="1:9" ht="15">
      <c r="A220" s="56" t="s">
        <v>16</v>
      </c>
      <c r="B220" s="57" t="s">
        <v>35</v>
      </c>
      <c r="C220" s="56" t="s">
        <v>93</v>
      </c>
      <c r="D220" s="67">
        <f>ROUND(D217*1,4)</f>
        <v>17</v>
      </c>
      <c r="E220" s="58"/>
      <c r="F220" s="82">
        <f>TRUNC(0.35*(1+Orcamento!$E$65),4)</f>
        <v>0.3868</v>
      </c>
      <c r="G220" s="65" t="s">
        <v>80</v>
      </c>
      <c r="H220" s="60" t="s">
        <v>87</v>
      </c>
      <c r="I220" s="79">
        <f>TRUNC(D220*F220,4)</f>
        <v>6.5756</v>
      </c>
    </row>
    <row r="221" spans="1:9" ht="15">
      <c r="A221" s="56" t="s">
        <v>51</v>
      </c>
      <c r="B221" s="57" t="s">
        <v>36</v>
      </c>
      <c r="C221" s="56" t="s">
        <v>93</v>
      </c>
      <c r="D221" s="67">
        <f>ROUND(D220*0.5,4)</f>
        <v>8.5</v>
      </c>
      <c r="E221" s="58"/>
      <c r="F221" s="82">
        <f>TRUNC(5*(1+Orcamento!$E$65),4)</f>
        <v>5.527</v>
      </c>
      <c r="G221" s="65" t="s">
        <v>80</v>
      </c>
      <c r="H221" s="60" t="s">
        <v>85</v>
      </c>
      <c r="I221" s="79">
        <f>TRUNC(D221*F221,4)</f>
        <v>46.9795</v>
      </c>
    </row>
    <row r="222" ht="15">
      <c r="B222" s="193"/>
    </row>
    <row r="223" spans="2:5" ht="15">
      <c r="B223" s="193"/>
      <c r="C223" s="6"/>
      <c r="D223" s="6"/>
      <c r="E223" s="6"/>
    </row>
    <row r="224" spans="1:9" ht="15">
      <c r="A224" s="44" t="s">
        <v>28</v>
      </c>
      <c r="B224" s="44" t="s">
        <v>29</v>
      </c>
      <c r="C224" s="45"/>
      <c r="D224" s="45"/>
      <c r="E224" s="45"/>
      <c r="F224" s="45"/>
      <c r="G224" s="46"/>
      <c r="H224" s="43" t="s">
        <v>68</v>
      </c>
      <c r="I224" s="43" t="s">
        <v>67</v>
      </c>
    </row>
    <row r="225" spans="1:9" ht="15">
      <c r="A225" s="47" t="s">
        <v>167</v>
      </c>
      <c r="B225" s="113" t="s">
        <v>119</v>
      </c>
      <c r="C225" s="114"/>
      <c r="D225" s="114"/>
      <c r="E225" s="114"/>
      <c r="F225" s="114"/>
      <c r="G225" s="115"/>
      <c r="H225" s="116" t="s">
        <v>10</v>
      </c>
      <c r="I225" s="117">
        <f>TRUNC(SUM(I227:I231),2)</f>
        <v>6719.71</v>
      </c>
    </row>
    <row r="226" spans="1:9" ht="15.75" customHeight="1">
      <c r="A226" s="49" t="s">
        <v>1</v>
      </c>
      <c r="B226" s="50" t="s">
        <v>2</v>
      </c>
      <c r="C226" s="50" t="s">
        <v>30</v>
      </c>
      <c r="D226" s="51" t="s">
        <v>31</v>
      </c>
      <c r="E226" s="52" t="s">
        <v>32</v>
      </c>
      <c r="F226" s="53" t="s">
        <v>4</v>
      </c>
      <c r="G226" s="54" t="s">
        <v>32</v>
      </c>
      <c r="H226" s="55"/>
      <c r="I226" s="51" t="s">
        <v>69</v>
      </c>
    </row>
    <row r="227" spans="1:9" ht="15">
      <c r="A227" s="56">
        <v>1</v>
      </c>
      <c r="B227" s="57" t="s">
        <v>38</v>
      </c>
      <c r="C227" s="56" t="s">
        <v>77</v>
      </c>
      <c r="D227" s="67">
        <v>68</v>
      </c>
      <c r="E227" s="58"/>
      <c r="F227" s="82">
        <v>91.42</v>
      </c>
      <c r="G227" s="59" t="s">
        <v>62</v>
      </c>
      <c r="H227" s="60">
        <v>91677</v>
      </c>
      <c r="I227" s="79">
        <f>TRUNC(D227*F227,4)</f>
        <v>6216.56</v>
      </c>
    </row>
    <row r="228" spans="1:9" s="10" customFormat="1" ht="14.25">
      <c r="A228" s="56" t="s">
        <v>11</v>
      </c>
      <c r="B228" s="57" t="s">
        <v>78</v>
      </c>
      <c r="C228" s="66" t="s">
        <v>79</v>
      </c>
      <c r="D228" s="80">
        <f>ROUND((D227)/176,6)</f>
        <v>0.386364</v>
      </c>
      <c r="E228" s="58"/>
      <c r="F228" s="79">
        <f>TRUNC(171.37*(1+Orcamento!$E$65),4)</f>
        <v>189.4323</v>
      </c>
      <c r="G228" s="74" t="s">
        <v>80</v>
      </c>
      <c r="H228" s="69" t="s">
        <v>55</v>
      </c>
      <c r="I228" s="79">
        <f>TRUNC(D228*F228,4)</f>
        <v>73.1898</v>
      </c>
    </row>
    <row r="229" spans="1:9" s="10" customFormat="1" ht="14.25">
      <c r="A229" s="56" t="s">
        <v>13</v>
      </c>
      <c r="B229" s="71" t="s">
        <v>81</v>
      </c>
      <c r="C229" s="72" t="s">
        <v>82</v>
      </c>
      <c r="D229" s="81">
        <f>ROUND((D227)/(176*12),6)</f>
        <v>0.032197</v>
      </c>
      <c r="E229" s="73"/>
      <c r="F229" s="79">
        <f>TRUNC(6461.72*(1+Orcamento!$E$66),4)</f>
        <v>6700.8036</v>
      </c>
      <c r="G229" s="68" t="s">
        <v>83</v>
      </c>
      <c r="H229" s="69" t="s">
        <v>84</v>
      </c>
      <c r="I229" s="79">
        <f>TRUNC(D229*F229,4)</f>
        <v>215.7457</v>
      </c>
    </row>
    <row r="230" spans="1:9" ht="15">
      <c r="A230" s="56" t="s">
        <v>16</v>
      </c>
      <c r="B230" s="57" t="s">
        <v>35</v>
      </c>
      <c r="C230" s="56" t="s">
        <v>93</v>
      </c>
      <c r="D230" s="67">
        <f>ROUND(D227*1,4)</f>
        <v>68</v>
      </c>
      <c r="E230" s="58"/>
      <c r="F230" s="82">
        <f>TRUNC(0.35*(1+Orcamento!$E$65),4)</f>
        <v>0.3868</v>
      </c>
      <c r="G230" s="65" t="s">
        <v>80</v>
      </c>
      <c r="H230" s="60" t="s">
        <v>87</v>
      </c>
      <c r="I230" s="79">
        <f>TRUNC(D230*F230,4)</f>
        <v>26.3024</v>
      </c>
    </row>
    <row r="231" spans="1:9" ht="15">
      <c r="A231" s="56" t="s">
        <v>51</v>
      </c>
      <c r="B231" s="57" t="s">
        <v>36</v>
      </c>
      <c r="C231" s="56" t="s">
        <v>93</v>
      </c>
      <c r="D231" s="67">
        <f>ROUND(D230*0.5,4)</f>
        <v>34</v>
      </c>
      <c r="E231" s="58"/>
      <c r="F231" s="82">
        <f>TRUNC(5*(1+Orcamento!$E$65),4)</f>
        <v>5.527</v>
      </c>
      <c r="G231" s="65" t="s">
        <v>80</v>
      </c>
      <c r="H231" s="60" t="s">
        <v>85</v>
      </c>
      <c r="I231" s="79">
        <f>TRUNC(D231*F231,4)</f>
        <v>187.918</v>
      </c>
    </row>
    <row r="232" ht="15">
      <c r="B232" s="193"/>
    </row>
    <row r="233" spans="2:5" ht="15">
      <c r="B233" s="193"/>
      <c r="C233" s="6"/>
      <c r="D233" s="6"/>
      <c r="E233" s="6"/>
    </row>
    <row r="234" spans="1:9" ht="15">
      <c r="A234" s="44" t="s">
        <v>28</v>
      </c>
      <c r="B234" s="44" t="s">
        <v>29</v>
      </c>
      <c r="C234" s="45"/>
      <c r="D234" s="45"/>
      <c r="E234" s="45"/>
      <c r="F234" s="45"/>
      <c r="G234" s="46"/>
      <c r="H234" s="43" t="s">
        <v>68</v>
      </c>
      <c r="I234" s="43" t="s">
        <v>67</v>
      </c>
    </row>
    <row r="235" spans="1:9" ht="15">
      <c r="A235" s="47" t="s">
        <v>168</v>
      </c>
      <c r="B235" s="113" t="s">
        <v>117</v>
      </c>
      <c r="C235" s="114"/>
      <c r="D235" s="114"/>
      <c r="E235" s="114"/>
      <c r="F235" s="114"/>
      <c r="G235" s="115"/>
      <c r="H235" s="116" t="s">
        <v>10</v>
      </c>
      <c r="I235" s="117">
        <f>TRUNC(SUM(I237:I241),2)</f>
        <v>2668.12</v>
      </c>
    </row>
    <row r="236" spans="1:9" ht="15.75" customHeight="1">
      <c r="A236" s="49" t="s">
        <v>1</v>
      </c>
      <c r="B236" s="50" t="s">
        <v>2</v>
      </c>
      <c r="C236" s="50" t="s">
        <v>30</v>
      </c>
      <c r="D236" s="51" t="s">
        <v>31</v>
      </c>
      <c r="E236" s="52" t="s">
        <v>32</v>
      </c>
      <c r="F236" s="53" t="s">
        <v>4</v>
      </c>
      <c r="G236" s="54" t="s">
        <v>32</v>
      </c>
      <c r="H236" s="55"/>
      <c r="I236" s="51" t="s">
        <v>69</v>
      </c>
    </row>
    <row r="237" spans="1:9" ht="15">
      <c r="A237" s="56">
        <v>1</v>
      </c>
      <c r="B237" s="57" t="s">
        <v>38</v>
      </c>
      <c r="C237" s="56" t="s">
        <v>77</v>
      </c>
      <c r="D237" s="67">
        <v>27</v>
      </c>
      <c r="E237" s="58"/>
      <c r="F237" s="82">
        <v>91.42</v>
      </c>
      <c r="G237" s="59" t="s">
        <v>62</v>
      </c>
      <c r="H237" s="60">
        <v>91677</v>
      </c>
      <c r="I237" s="79">
        <f>TRUNC(D237*F237,4)</f>
        <v>2468.34</v>
      </c>
    </row>
    <row r="238" spans="1:9" s="10" customFormat="1" ht="14.25">
      <c r="A238" s="56" t="s">
        <v>11</v>
      </c>
      <c r="B238" s="57" t="s">
        <v>78</v>
      </c>
      <c r="C238" s="66" t="s">
        <v>79</v>
      </c>
      <c r="D238" s="80">
        <f>ROUND((D237)/176,6)</f>
        <v>0.153409</v>
      </c>
      <c r="E238" s="58"/>
      <c r="F238" s="79">
        <f>TRUNC(171.37*(1+Orcamento!$E$65),4)</f>
        <v>189.4323</v>
      </c>
      <c r="G238" s="74" t="s">
        <v>80</v>
      </c>
      <c r="H238" s="69" t="s">
        <v>55</v>
      </c>
      <c r="I238" s="79">
        <f>TRUNC(D238*F238,4)</f>
        <v>29.0606</v>
      </c>
    </row>
    <row r="239" spans="1:9" s="10" customFormat="1" ht="14.25">
      <c r="A239" s="56" t="s">
        <v>13</v>
      </c>
      <c r="B239" s="71" t="s">
        <v>81</v>
      </c>
      <c r="C239" s="72" t="s">
        <v>82</v>
      </c>
      <c r="D239" s="81">
        <f>ROUND((D237)/(176*12),6)</f>
        <v>0.012784</v>
      </c>
      <c r="E239" s="73"/>
      <c r="F239" s="79">
        <f>TRUNC(6461.72*(1+Orcamento!$E$66),4)</f>
        <v>6700.8036</v>
      </c>
      <c r="G239" s="68" t="s">
        <v>83</v>
      </c>
      <c r="H239" s="69" t="s">
        <v>84</v>
      </c>
      <c r="I239" s="79">
        <f>TRUNC(D239*F239,4)</f>
        <v>85.663</v>
      </c>
    </row>
    <row r="240" spans="1:9" ht="15">
      <c r="A240" s="56" t="s">
        <v>16</v>
      </c>
      <c r="B240" s="57" t="s">
        <v>35</v>
      </c>
      <c r="C240" s="56" t="s">
        <v>93</v>
      </c>
      <c r="D240" s="67">
        <f>ROUND(D237*1,4)</f>
        <v>27</v>
      </c>
      <c r="E240" s="58"/>
      <c r="F240" s="82">
        <f>TRUNC(0.35*(1+Orcamento!$E$65),4)</f>
        <v>0.3868</v>
      </c>
      <c r="G240" s="65" t="s">
        <v>80</v>
      </c>
      <c r="H240" s="60" t="s">
        <v>87</v>
      </c>
      <c r="I240" s="79">
        <f>TRUNC(D240*F240,4)</f>
        <v>10.4436</v>
      </c>
    </row>
    <row r="241" spans="1:9" ht="15">
      <c r="A241" s="56" t="s">
        <v>51</v>
      </c>
      <c r="B241" s="57" t="s">
        <v>36</v>
      </c>
      <c r="C241" s="56" t="s">
        <v>93</v>
      </c>
      <c r="D241" s="67">
        <f>ROUND(D240*0.5,4)</f>
        <v>13.5</v>
      </c>
      <c r="E241" s="58"/>
      <c r="F241" s="82">
        <f>TRUNC(5*(1+Orcamento!$E$65),4)</f>
        <v>5.527</v>
      </c>
      <c r="G241" s="65" t="s">
        <v>80</v>
      </c>
      <c r="H241" s="60" t="s">
        <v>85</v>
      </c>
      <c r="I241" s="79">
        <f>TRUNC(D241*F241,4)</f>
        <v>74.6145</v>
      </c>
    </row>
    <row r="242" ht="15">
      <c r="B242" s="193"/>
    </row>
    <row r="243" spans="2:5" ht="15">
      <c r="B243" s="193"/>
      <c r="C243" s="6"/>
      <c r="D243" s="6"/>
      <c r="E243" s="6"/>
    </row>
    <row r="244" spans="1:9" ht="15">
      <c r="A244" s="44" t="s">
        <v>28</v>
      </c>
      <c r="B244" s="44" t="s">
        <v>29</v>
      </c>
      <c r="C244" s="45"/>
      <c r="D244" s="45"/>
      <c r="E244" s="45"/>
      <c r="F244" s="45"/>
      <c r="G244" s="46"/>
      <c r="H244" s="43" t="s">
        <v>68</v>
      </c>
      <c r="I244" s="43" t="s">
        <v>67</v>
      </c>
    </row>
    <row r="245" spans="1:9" ht="15">
      <c r="A245" s="47" t="s">
        <v>169</v>
      </c>
      <c r="B245" s="113" t="s">
        <v>120</v>
      </c>
      <c r="C245" s="114"/>
      <c r="D245" s="114"/>
      <c r="E245" s="114"/>
      <c r="F245" s="114"/>
      <c r="G245" s="115"/>
      <c r="H245" s="116" t="s">
        <v>10</v>
      </c>
      <c r="I245" s="117">
        <f>TRUNC(SUM(I247:I251),2)</f>
        <v>3063.39</v>
      </c>
    </row>
    <row r="246" spans="1:9" ht="15.75" customHeight="1">
      <c r="A246" s="49" t="s">
        <v>1</v>
      </c>
      <c r="B246" s="50" t="s">
        <v>2</v>
      </c>
      <c r="C246" s="50" t="s">
        <v>30</v>
      </c>
      <c r="D246" s="51" t="s">
        <v>31</v>
      </c>
      <c r="E246" s="52" t="s">
        <v>32</v>
      </c>
      <c r="F246" s="53" t="s">
        <v>4</v>
      </c>
      <c r="G246" s="54" t="s">
        <v>32</v>
      </c>
      <c r="H246" s="55"/>
      <c r="I246" s="51" t="s">
        <v>69</v>
      </c>
    </row>
    <row r="247" spans="1:9" ht="15">
      <c r="A247" s="56">
        <v>1</v>
      </c>
      <c r="B247" s="57" t="s">
        <v>38</v>
      </c>
      <c r="C247" s="56" t="s">
        <v>77</v>
      </c>
      <c r="D247" s="67">
        <v>31</v>
      </c>
      <c r="E247" s="58"/>
      <c r="F247" s="82">
        <v>91.42</v>
      </c>
      <c r="G247" s="59" t="s">
        <v>62</v>
      </c>
      <c r="H247" s="60">
        <v>91677</v>
      </c>
      <c r="I247" s="79">
        <f>TRUNC(D247*F247,4)</f>
        <v>2834.02</v>
      </c>
    </row>
    <row r="248" spans="1:9" s="10" customFormat="1" ht="14.25">
      <c r="A248" s="56" t="s">
        <v>11</v>
      </c>
      <c r="B248" s="57" t="s">
        <v>78</v>
      </c>
      <c r="C248" s="66" t="s">
        <v>79</v>
      </c>
      <c r="D248" s="80">
        <f>ROUND((D247)/176,6)</f>
        <v>0.176136</v>
      </c>
      <c r="E248" s="58"/>
      <c r="F248" s="79">
        <f>TRUNC(171.37*(1+Orcamento!$E$65),4)</f>
        <v>189.4323</v>
      </c>
      <c r="G248" s="74" t="s">
        <v>80</v>
      </c>
      <c r="H248" s="69" t="s">
        <v>55</v>
      </c>
      <c r="I248" s="79">
        <f>TRUNC(D248*F248,4)</f>
        <v>33.3658</v>
      </c>
    </row>
    <row r="249" spans="1:9" s="10" customFormat="1" ht="14.25">
      <c r="A249" s="56" t="s">
        <v>13</v>
      </c>
      <c r="B249" s="71" t="s">
        <v>81</v>
      </c>
      <c r="C249" s="72" t="s">
        <v>82</v>
      </c>
      <c r="D249" s="81">
        <f>ROUND((D247)/(176*12),6)</f>
        <v>0.014678</v>
      </c>
      <c r="E249" s="73"/>
      <c r="F249" s="79">
        <f>TRUNC(6461.72*(1+Orcamento!$E$66),4)</f>
        <v>6700.8036</v>
      </c>
      <c r="G249" s="68" t="s">
        <v>83</v>
      </c>
      <c r="H249" s="69" t="s">
        <v>84</v>
      </c>
      <c r="I249" s="79">
        <f>TRUNC(D249*F249,4)</f>
        <v>98.3543</v>
      </c>
    </row>
    <row r="250" spans="1:9" ht="15">
      <c r="A250" s="56" t="s">
        <v>16</v>
      </c>
      <c r="B250" s="57" t="s">
        <v>35</v>
      </c>
      <c r="C250" s="56" t="s">
        <v>93</v>
      </c>
      <c r="D250" s="67">
        <f>ROUND(D247*1,4)</f>
        <v>31</v>
      </c>
      <c r="E250" s="58"/>
      <c r="F250" s="82">
        <f>TRUNC(0.35*(1+Orcamento!$E$65),4)</f>
        <v>0.3868</v>
      </c>
      <c r="G250" s="65" t="s">
        <v>80</v>
      </c>
      <c r="H250" s="60" t="s">
        <v>87</v>
      </c>
      <c r="I250" s="79">
        <f>TRUNC(D250*F250,4)</f>
        <v>11.9908</v>
      </c>
    </row>
    <row r="251" spans="1:9" ht="15">
      <c r="A251" s="56" t="s">
        <v>51</v>
      </c>
      <c r="B251" s="57" t="s">
        <v>36</v>
      </c>
      <c r="C251" s="56" t="s">
        <v>93</v>
      </c>
      <c r="D251" s="67">
        <f>ROUND(D250*0.5,4)</f>
        <v>15.5</v>
      </c>
      <c r="E251" s="58"/>
      <c r="F251" s="82">
        <f>TRUNC(5*(1+Orcamento!$E$65),4)</f>
        <v>5.527</v>
      </c>
      <c r="G251" s="65" t="s">
        <v>80</v>
      </c>
      <c r="H251" s="60" t="s">
        <v>85</v>
      </c>
      <c r="I251" s="79">
        <f>TRUNC(D251*F251,4)</f>
        <v>85.6685</v>
      </c>
    </row>
    <row r="252" ht="15">
      <c r="B252" s="193"/>
    </row>
    <row r="253" spans="2:5" ht="15">
      <c r="B253" s="193"/>
      <c r="C253" s="6"/>
      <c r="D253" s="6"/>
      <c r="E253" s="6"/>
    </row>
    <row r="254" spans="1:9" ht="15">
      <c r="A254" s="44" t="s">
        <v>28</v>
      </c>
      <c r="B254" s="44" t="s">
        <v>29</v>
      </c>
      <c r="C254" s="45"/>
      <c r="D254" s="45"/>
      <c r="E254" s="45"/>
      <c r="F254" s="45"/>
      <c r="G254" s="46"/>
      <c r="H254" s="43" t="s">
        <v>68</v>
      </c>
      <c r="I254" s="43" t="s">
        <v>67</v>
      </c>
    </row>
    <row r="255" spans="1:9" ht="15">
      <c r="A255" s="47" t="s">
        <v>170</v>
      </c>
      <c r="B255" s="113" t="s">
        <v>123</v>
      </c>
      <c r="C255" s="114"/>
      <c r="D255" s="114"/>
      <c r="E255" s="114"/>
      <c r="F255" s="114"/>
      <c r="G255" s="115"/>
      <c r="H255" s="116" t="s">
        <v>10</v>
      </c>
      <c r="I255" s="117">
        <f>TRUNC(SUM(I257:I261),2)</f>
        <v>2964.58</v>
      </c>
    </row>
    <row r="256" spans="1:9" ht="15.75" customHeight="1">
      <c r="A256" s="49" t="s">
        <v>1</v>
      </c>
      <c r="B256" s="50" t="s">
        <v>2</v>
      </c>
      <c r="C256" s="50" t="s">
        <v>30</v>
      </c>
      <c r="D256" s="51" t="s">
        <v>31</v>
      </c>
      <c r="E256" s="52" t="s">
        <v>32</v>
      </c>
      <c r="F256" s="53" t="s">
        <v>4</v>
      </c>
      <c r="G256" s="54" t="s">
        <v>32</v>
      </c>
      <c r="H256" s="55"/>
      <c r="I256" s="51" t="s">
        <v>69</v>
      </c>
    </row>
    <row r="257" spans="1:9" ht="15">
      <c r="A257" s="56">
        <v>1</v>
      </c>
      <c r="B257" s="57" t="s">
        <v>38</v>
      </c>
      <c r="C257" s="56" t="s">
        <v>77</v>
      </c>
      <c r="D257" s="67">
        <v>30</v>
      </c>
      <c r="E257" s="58"/>
      <c r="F257" s="82">
        <v>91.42</v>
      </c>
      <c r="G257" s="59" t="s">
        <v>62</v>
      </c>
      <c r="H257" s="60">
        <v>91677</v>
      </c>
      <c r="I257" s="79">
        <f>TRUNC(D257*F257,4)</f>
        <v>2742.6</v>
      </c>
    </row>
    <row r="258" spans="1:9" s="10" customFormat="1" ht="14.25">
      <c r="A258" s="56" t="s">
        <v>11</v>
      </c>
      <c r="B258" s="57" t="s">
        <v>78</v>
      </c>
      <c r="C258" s="66" t="s">
        <v>79</v>
      </c>
      <c r="D258" s="80">
        <f>ROUND((D257)/176,6)</f>
        <v>0.170455</v>
      </c>
      <c r="E258" s="58"/>
      <c r="F258" s="79">
        <f>TRUNC(171.37*(1+Orcamento!$E$65),4)</f>
        <v>189.4323</v>
      </c>
      <c r="G258" s="74" t="s">
        <v>80</v>
      </c>
      <c r="H258" s="69" t="s">
        <v>55</v>
      </c>
      <c r="I258" s="79">
        <f>TRUNC(D258*F258,4)</f>
        <v>32.2896</v>
      </c>
    </row>
    <row r="259" spans="1:9" s="10" customFormat="1" ht="14.25">
      <c r="A259" s="56" t="s">
        <v>13</v>
      </c>
      <c r="B259" s="71" t="s">
        <v>81</v>
      </c>
      <c r="C259" s="72" t="s">
        <v>82</v>
      </c>
      <c r="D259" s="81">
        <f>ROUND((D257)/(176*12),6)</f>
        <v>0.014205</v>
      </c>
      <c r="E259" s="73"/>
      <c r="F259" s="79">
        <f>TRUNC(6461.72*(1+Orcamento!$E$66),4)</f>
        <v>6700.8036</v>
      </c>
      <c r="G259" s="68" t="s">
        <v>83</v>
      </c>
      <c r="H259" s="69" t="s">
        <v>84</v>
      </c>
      <c r="I259" s="79">
        <f>TRUNC(D259*F259,4)</f>
        <v>95.1849</v>
      </c>
    </row>
    <row r="260" spans="1:9" ht="15">
      <c r="A260" s="56" t="s">
        <v>16</v>
      </c>
      <c r="B260" s="57" t="s">
        <v>35</v>
      </c>
      <c r="C260" s="56" t="s">
        <v>93</v>
      </c>
      <c r="D260" s="67">
        <f>ROUND(D257*1,4)</f>
        <v>30</v>
      </c>
      <c r="E260" s="58"/>
      <c r="F260" s="82">
        <f>TRUNC(0.35*(1+Orcamento!$E$65),4)</f>
        <v>0.3868</v>
      </c>
      <c r="G260" s="65" t="s">
        <v>80</v>
      </c>
      <c r="H260" s="60" t="s">
        <v>87</v>
      </c>
      <c r="I260" s="79">
        <f>TRUNC(D260*F260,4)</f>
        <v>11.604</v>
      </c>
    </row>
    <row r="261" spans="1:9" ht="15">
      <c r="A261" s="56" t="s">
        <v>51</v>
      </c>
      <c r="B261" s="57" t="s">
        <v>36</v>
      </c>
      <c r="C261" s="56" t="s">
        <v>93</v>
      </c>
      <c r="D261" s="67">
        <f>ROUND(D260*0.5,4)</f>
        <v>15</v>
      </c>
      <c r="E261" s="58"/>
      <c r="F261" s="82">
        <f>TRUNC(5*(1+Orcamento!$E$65),4)</f>
        <v>5.527</v>
      </c>
      <c r="G261" s="65" t="s">
        <v>80</v>
      </c>
      <c r="H261" s="60" t="s">
        <v>85</v>
      </c>
      <c r="I261" s="79">
        <f>TRUNC(D261*F261,4)</f>
        <v>82.905</v>
      </c>
    </row>
    <row r="262" ht="15">
      <c r="B262" s="193"/>
    </row>
    <row r="263" spans="2:9" ht="15">
      <c r="B263" s="195"/>
      <c r="C263" s="192"/>
      <c r="D263" s="192"/>
      <c r="E263" s="192"/>
      <c r="F263" s="196"/>
      <c r="G263" s="196"/>
      <c r="H263" s="196"/>
      <c r="I263" s="196"/>
    </row>
    <row r="264" spans="1:9" ht="15">
      <c r="A264" s="44" t="s">
        <v>28</v>
      </c>
      <c r="B264" s="44" t="s">
        <v>29</v>
      </c>
      <c r="C264" s="45"/>
      <c r="D264" s="45"/>
      <c r="E264" s="45"/>
      <c r="F264" s="45"/>
      <c r="G264" s="46"/>
      <c r="H264" s="43" t="s">
        <v>68</v>
      </c>
      <c r="I264" s="43" t="s">
        <v>67</v>
      </c>
    </row>
    <row r="265" spans="1:9" ht="15">
      <c r="A265" s="47" t="s">
        <v>171</v>
      </c>
      <c r="B265" s="113" t="s">
        <v>250</v>
      </c>
      <c r="C265" s="114"/>
      <c r="D265" s="114"/>
      <c r="E265" s="114"/>
      <c r="F265" s="114"/>
      <c r="G265" s="115"/>
      <c r="H265" s="116" t="s">
        <v>10</v>
      </c>
      <c r="I265" s="117">
        <f>TRUNC(SUM(I267:I271),2)</f>
        <v>1877.56</v>
      </c>
    </row>
    <row r="266" spans="1:9" ht="15.75" customHeight="1">
      <c r="A266" s="49" t="s">
        <v>1</v>
      </c>
      <c r="B266" s="50" t="s">
        <v>2</v>
      </c>
      <c r="C266" s="50" t="s">
        <v>30</v>
      </c>
      <c r="D266" s="51" t="s">
        <v>31</v>
      </c>
      <c r="E266" s="52" t="s">
        <v>32</v>
      </c>
      <c r="F266" s="53" t="s">
        <v>4</v>
      </c>
      <c r="G266" s="54" t="s">
        <v>32</v>
      </c>
      <c r="H266" s="55"/>
      <c r="I266" s="51" t="s">
        <v>69</v>
      </c>
    </row>
    <row r="267" spans="1:9" ht="15">
      <c r="A267" s="56">
        <v>1</v>
      </c>
      <c r="B267" s="57" t="s">
        <v>38</v>
      </c>
      <c r="C267" s="56" t="s">
        <v>77</v>
      </c>
      <c r="D267" s="67">
        <v>19</v>
      </c>
      <c r="E267" s="58"/>
      <c r="F267" s="82">
        <v>91.42</v>
      </c>
      <c r="G267" s="59" t="s">
        <v>62</v>
      </c>
      <c r="H267" s="60">
        <v>91677</v>
      </c>
      <c r="I267" s="79">
        <f>TRUNC(D267*F267,4)</f>
        <v>1736.98</v>
      </c>
    </row>
    <row r="268" spans="1:9" s="10" customFormat="1" ht="14.25">
      <c r="A268" s="56" t="s">
        <v>11</v>
      </c>
      <c r="B268" s="57" t="s">
        <v>78</v>
      </c>
      <c r="C268" s="66" t="s">
        <v>79</v>
      </c>
      <c r="D268" s="80">
        <f>ROUND((D267)/176,6)</f>
        <v>0.107955</v>
      </c>
      <c r="E268" s="58"/>
      <c r="F268" s="79">
        <f>TRUNC(171.37*(1+Orcamento!$E$65),4)</f>
        <v>189.4323</v>
      </c>
      <c r="G268" s="74" t="s">
        <v>80</v>
      </c>
      <c r="H268" s="69" t="s">
        <v>55</v>
      </c>
      <c r="I268" s="79">
        <f>TRUNC(D268*F268,4)</f>
        <v>20.4501</v>
      </c>
    </row>
    <row r="269" spans="1:9" s="10" customFormat="1" ht="14.25">
      <c r="A269" s="56" t="s">
        <v>13</v>
      </c>
      <c r="B269" s="71" t="s">
        <v>81</v>
      </c>
      <c r="C269" s="72" t="s">
        <v>82</v>
      </c>
      <c r="D269" s="81">
        <f>ROUND((D267)/(176*12),6)</f>
        <v>0.008996</v>
      </c>
      <c r="E269" s="73"/>
      <c r="F269" s="79">
        <f>TRUNC(6461.72*(1+Orcamento!$E$66),4)</f>
        <v>6700.8036</v>
      </c>
      <c r="G269" s="68" t="s">
        <v>83</v>
      </c>
      <c r="H269" s="69" t="s">
        <v>84</v>
      </c>
      <c r="I269" s="79">
        <f>TRUNC(D269*F269,4)</f>
        <v>60.2804</v>
      </c>
    </row>
    <row r="270" spans="1:9" ht="15">
      <c r="A270" s="56" t="s">
        <v>16</v>
      </c>
      <c r="B270" s="57" t="s">
        <v>35</v>
      </c>
      <c r="C270" s="56" t="s">
        <v>93</v>
      </c>
      <c r="D270" s="67">
        <f>ROUND(D267*1,4)</f>
        <v>19</v>
      </c>
      <c r="E270" s="58"/>
      <c r="F270" s="82">
        <f>TRUNC(0.35*(1+Orcamento!$E$65),4)</f>
        <v>0.3868</v>
      </c>
      <c r="G270" s="65" t="s">
        <v>80</v>
      </c>
      <c r="H270" s="60" t="s">
        <v>87</v>
      </c>
      <c r="I270" s="79">
        <f>TRUNC(D270*F270,4)</f>
        <v>7.3492</v>
      </c>
    </row>
    <row r="271" spans="1:9" ht="15">
      <c r="A271" s="56" t="s">
        <v>51</v>
      </c>
      <c r="B271" s="57" t="s">
        <v>36</v>
      </c>
      <c r="C271" s="56" t="s">
        <v>93</v>
      </c>
      <c r="D271" s="67">
        <f>ROUND(D270*0.5,4)</f>
        <v>9.5</v>
      </c>
      <c r="E271" s="58"/>
      <c r="F271" s="82">
        <f>TRUNC(5*(1+Orcamento!$E$65),4)</f>
        <v>5.527</v>
      </c>
      <c r="G271" s="65" t="s">
        <v>80</v>
      </c>
      <c r="H271" s="60" t="s">
        <v>85</v>
      </c>
      <c r="I271" s="79">
        <f>TRUNC(D271*F271,4)</f>
        <v>52.5065</v>
      </c>
    </row>
    <row r="272" ht="15">
      <c r="B272" s="193"/>
    </row>
    <row r="273" spans="2:5" ht="15">
      <c r="B273" s="193"/>
      <c r="C273" s="6"/>
      <c r="D273" s="6"/>
      <c r="E273" s="6"/>
    </row>
    <row r="274" spans="1:9" ht="15">
      <c r="A274" s="44" t="s">
        <v>28</v>
      </c>
      <c r="B274" s="44" t="s">
        <v>29</v>
      </c>
      <c r="C274" s="45"/>
      <c r="D274" s="45"/>
      <c r="E274" s="45"/>
      <c r="F274" s="45"/>
      <c r="G274" s="46"/>
      <c r="H274" s="43" t="s">
        <v>68</v>
      </c>
      <c r="I274" s="43" t="s">
        <v>67</v>
      </c>
    </row>
    <row r="275" spans="1:9" ht="15">
      <c r="A275" s="47" t="s">
        <v>172</v>
      </c>
      <c r="B275" s="113" t="s">
        <v>121</v>
      </c>
      <c r="C275" s="114"/>
      <c r="D275" s="114"/>
      <c r="E275" s="114"/>
      <c r="F275" s="114"/>
      <c r="G275" s="115"/>
      <c r="H275" s="116" t="s">
        <v>10</v>
      </c>
      <c r="I275" s="117">
        <f>TRUNC(SUM(I277:I281),2)</f>
        <v>1383.47</v>
      </c>
    </row>
    <row r="276" spans="1:9" ht="15.75" customHeight="1">
      <c r="A276" s="49" t="s">
        <v>1</v>
      </c>
      <c r="B276" s="50" t="s">
        <v>2</v>
      </c>
      <c r="C276" s="50" t="s">
        <v>30</v>
      </c>
      <c r="D276" s="51" t="s">
        <v>31</v>
      </c>
      <c r="E276" s="52" t="s">
        <v>32</v>
      </c>
      <c r="F276" s="53" t="s">
        <v>4</v>
      </c>
      <c r="G276" s="54" t="s">
        <v>32</v>
      </c>
      <c r="H276" s="55"/>
      <c r="I276" s="51" t="s">
        <v>69</v>
      </c>
    </row>
    <row r="277" spans="1:9" ht="15">
      <c r="A277" s="56">
        <v>1</v>
      </c>
      <c r="B277" s="57" t="s">
        <v>38</v>
      </c>
      <c r="C277" s="56" t="s">
        <v>77</v>
      </c>
      <c r="D277" s="67">
        <v>14</v>
      </c>
      <c r="E277" s="58"/>
      <c r="F277" s="82">
        <v>91.42</v>
      </c>
      <c r="G277" s="59" t="s">
        <v>62</v>
      </c>
      <c r="H277" s="60">
        <v>91677</v>
      </c>
      <c r="I277" s="79">
        <f>TRUNC(D277*F277,4)</f>
        <v>1279.88</v>
      </c>
    </row>
    <row r="278" spans="1:9" s="10" customFormat="1" ht="14.25">
      <c r="A278" s="56" t="s">
        <v>11</v>
      </c>
      <c r="B278" s="57" t="s">
        <v>78</v>
      </c>
      <c r="C278" s="66" t="s">
        <v>79</v>
      </c>
      <c r="D278" s="80">
        <f>ROUND((D277)/176,6)</f>
        <v>0.079545</v>
      </c>
      <c r="E278" s="58"/>
      <c r="F278" s="79">
        <f>TRUNC(171.37*(1+Orcamento!$E$65),4)</f>
        <v>189.4323</v>
      </c>
      <c r="G278" s="74" t="s">
        <v>80</v>
      </c>
      <c r="H278" s="69" t="s">
        <v>55</v>
      </c>
      <c r="I278" s="79">
        <f>TRUNC(D278*F278,4)</f>
        <v>15.0683</v>
      </c>
    </row>
    <row r="279" spans="1:9" s="10" customFormat="1" ht="14.25">
      <c r="A279" s="56" t="s">
        <v>13</v>
      </c>
      <c r="B279" s="71" t="s">
        <v>81</v>
      </c>
      <c r="C279" s="72" t="s">
        <v>82</v>
      </c>
      <c r="D279" s="81">
        <f>ROUND((D277)/(176*12),6)</f>
        <v>0.006629</v>
      </c>
      <c r="E279" s="73"/>
      <c r="F279" s="79">
        <f>TRUNC(6461.72*(1+Orcamento!$E$66),4)</f>
        <v>6700.8036</v>
      </c>
      <c r="G279" s="68" t="s">
        <v>83</v>
      </c>
      <c r="H279" s="69" t="s">
        <v>84</v>
      </c>
      <c r="I279" s="79">
        <f>TRUNC(D279*F279,4)</f>
        <v>44.4196</v>
      </c>
    </row>
    <row r="280" spans="1:9" ht="15">
      <c r="A280" s="56" t="s">
        <v>16</v>
      </c>
      <c r="B280" s="57" t="s">
        <v>35</v>
      </c>
      <c r="C280" s="56" t="s">
        <v>93</v>
      </c>
      <c r="D280" s="67">
        <f>ROUND(D277*1,4)</f>
        <v>14</v>
      </c>
      <c r="E280" s="58"/>
      <c r="F280" s="82">
        <f>TRUNC(0.35*(1+Orcamento!$E$65),4)</f>
        <v>0.3868</v>
      </c>
      <c r="G280" s="65" t="s">
        <v>80</v>
      </c>
      <c r="H280" s="60" t="s">
        <v>87</v>
      </c>
      <c r="I280" s="79">
        <f>TRUNC(D280*F280,4)</f>
        <v>5.4152</v>
      </c>
    </row>
    <row r="281" spans="1:9" ht="15">
      <c r="A281" s="56" t="s">
        <v>51</v>
      </c>
      <c r="B281" s="57" t="s">
        <v>36</v>
      </c>
      <c r="C281" s="56" t="s">
        <v>93</v>
      </c>
      <c r="D281" s="67">
        <f>ROUND(D280*0.5,4)</f>
        <v>7</v>
      </c>
      <c r="E281" s="58"/>
      <c r="F281" s="82">
        <f>TRUNC(5*(1+Orcamento!$E$65),4)</f>
        <v>5.527</v>
      </c>
      <c r="G281" s="65" t="s">
        <v>80</v>
      </c>
      <c r="H281" s="60" t="s">
        <v>85</v>
      </c>
      <c r="I281" s="79">
        <f>TRUNC(D281*F281,4)</f>
        <v>38.689</v>
      </c>
    </row>
    <row r="282" ht="15">
      <c r="B282" s="193"/>
    </row>
    <row r="283" spans="2:5" ht="15">
      <c r="B283" s="193"/>
      <c r="C283" s="6"/>
      <c r="D283" s="6"/>
      <c r="E283" s="6"/>
    </row>
    <row r="284" spans="1:9" ht="15">
      <c r="A284" s="44" t="s">
        <v>28</v>
      </c>
      <c r="B284" s="44" t="s">
        <v>29</v>
      </c>
      <c r="C284" s="45"/>
      <c r="D284" s="45"/>
      <c r="E284" s="45"/>
      <c r="F284" s="45"/>
      <c r="G284" s="46"/>
      <c r="H284" s="43" t="s">
        <v>68</v>
      </c>
      <c r="I284" s="43" t="s">
        <v>67</v>
      </c>
    </row>
    <row r="285" spans="1:9" ht="15">
      <c r="A285" s="47" t="s">
        <v>173</v>
      </c>
      <c r="B285" s="113" t="s">
        <v>159</v>
      </c>
      <c r="C285" s="114"/>
      <c r="D285" s="114"/>
      <c r="E285" s="114"/>
      <c r="F285" s="114"/>
      <c r="G285" s="115"/>
      <c r="H285" s="116" t="s">
        <v>10</v>
      </c>
      <c r="I285" s="117">
        <f>TRUNC(SUM(I287:I291),2)</f>
        <v>1679.6</v>
      </c>
    </row>
    <row r="286" spans="1:9" ht="15.75" customHeight="1">
      <c r="A286" s="49" t="s">
        <v>1</v>
      </c>
      <c r="B286" s="50" t="s">
        <v>2</v>
      </c>
      <c r="C286" s="50" t="s">
        <v>30</v>
      </c>
      <c r="D286" s="51" t="s">
        <v>31</v>
      </c>
      <c r="E286" s="52" t="s">
        <v>32</v>
      </c>
      <c r="F286" s="53" t="s">
        <v>4</v>
      </c>
      <c r="G286" s="54" t="s">
        <v>32</v>
      </c>
      <c r="H286" s="55"/>
      <c r="I286" s="51" t="s">
        <v>69</v>
      </c>
    </row>
    <row r="287" spans="1:9" ht="15">
      <c r="A287" s="56">
        <v>1</v>
      </c>
      <c r="B287" s="57" t="s">
        <v>38</v>
      </c>
      <c r="C287" s="56" t="s">
        <v>77</v>
      </c>
      <c r="D287" s="67">
        <v>17</v>
      </c>
      <c r="E287" s="58"/>
      <c r="F287" s="82">
        <v>91.42</v>
      </c>
      <c r="G287" s="59" t="s">
        <v>62</v>
      </c>
      <c r="H287" s="60">
        <v>91677</v>
      </c>
      <c r="I287" s="79">
        <f>TRUNC(D287*F287,4)</f>
        <v>1554.14</v>
      </c>
    </row>
    <row r="288" spans="1:9" s="10" customFormat="1" ht="14.25">
      <c r="A288" s="56" t="s">
        <v>11</v>
      </c>
      <c r="B288" s="57" t="s">
        <v>78</v>
      </c>
      <c r="C288" s="66" t="s">
        <v>79</v>
      </c>
      <c r="D288" s="67">
        <f>ROUND((D287)/176,4)</f>
        <v>0.0966</v>
      </c>
      <c r="E288" s="58"/>
      <c r="F288" s="79">
        <f>TRUNC(171.37*(1+Orcamento!$E$65),4)</f>
        <v>189.4323</v>
      </c>
      <c r="G288" s="74" t="s">
        <v>80</v>
      </c>
      <c r="H288" s="69" t="s">
        <v>55</v>
      </c>
      <c r="I288" s="79">
        <f>TRUNC(D288*F288,4)</f>
        <v>18.2991</v>
      </c>
    </row>
    <row r="289" spans="1:9" s="10" customFormat="1" ht="14.25">
      <c r="A289" s="56" t="s">
        <v>13</v>
      </c>
      <c r="B289" s="71" t="s">
        <v>81</v>
      </c>
      <c r="C289" s="72" t="s">
        <v>82</v>
      </c>
      <c r="D289" s="162">
        <f>ROUND((D287)/(176*12),4)</f>
        <v>0.008</v>
      </c>
      <c r="E289" s="73"/>
      <c r="F289" s="79">
        <f>TRUNC(6461.72*(1+Orcamento!$E$66),4)</f>
        <v>6700.8036</v>
      </c>
      <c r="G289" s="68" t="s">
        <v>83</v>
      </c>
      <c r="H289" s="69" t="s">
        <v>84</v>
      </c>
      <c r="I289" s="79">
        <f>TRUNC(D289*F289,4)</f>
        <v>53.6064</v>
      </c>
    </row>
    <row r="290" spans="1:9" ht="15">
      <c r="A290" s="56" t="s">
        <v>16</v>
      </c>
      <c r="B290" s="57" t="s">
        <v>35</v>
      </c>
      <c r="C290" s="56" t="s">
        <v>93</v>
      </c>
      <c r="D290" s="67">
        <f>ROUND(D287*1,4)</f>
        <v>17</v>
      </c>
      <c r="E290" s="58"/>
      <c r="F290" s="82">
        <f>TRUNC(0.35*(1+Orcamento!$E$65),4)</f>
        <v>0.3868</v>
      </c>
      <c r="G290" s="65" t="s">
        <v>80</v>
      </c>
      <c r="H290" s="60" t="s">
        <v>87</v>
      </c>
      <c r="I290" s="79">
        <f>TRUNC(D290*F290,4)</f>
        <v>6.5756</v>
      </c>
    </row>
    <row r="291" spans="1:9" ht="15">
      <c r="A291" s="56" t="s">
        <v>51</v>
      </c>
      <c r="B291" s="57" t="s">
        <v>36</v>
      </c>
      <c r="C291" s="56" t="s">
        <v>93</v>
      </c>
      <c r="D291" s="67">
        <f>ROUND(D290*0.5,4)</f>
        <v>8.5</v>
      </c>
      <c r="E291" s="58"/>
      <c r="F291" s="82">
        <f>TRUNC(5*(1+Orcamento!$E$65),4)</f>
        <v>5.527</v>
      </c>
      <c r="G291" s="65" t="s">
        <v>80</v>
      </c>
      <c r="H291" s="60" t="s">
        <v>85</v>
      </c>
      <c r="I291" s="79">
        <f>TRUNC(D291*F291,4)</f>
        <v>46.9795</v>
      </c>
    </row>
    <row r="292" ht="15">
      <c r="B292" s="193"/>
    </row>
    <row r="293" spans="2:5" ht="15">
      <c r="B293" s="193"/>
      <c r="C293" s="6"/>
      <c r="D293" s="6"/>
      <c r="E293" s="6"/>
    </row>
    <row r="294" spans="1:9" ht="15">
      <c r="A294" s="44" t="s">
        <v>28</v>
      </c>
      <c r="B294" s="44" t="s">
        <v>29</v>
      </c>
      <c r="C294" s="45"/>
      <c r="D294" s="45"/>
      <c r="E294" s="45"/>
      <c r="F294" s="45"/>
      <c r="G294" s="46"/>
      <c r="H294" s="43" t="s">
        <v>68</v>
      </c>
      <c r="I294" s="43" t="s">
        <v>67</v>
      </c>
    </row>
    <row r="295" spans="1:9" ht="15">
      <c r="A295" s="47" t="s">
        <v>174</v>
      </c>
      <c r="B295" s="113" t="s">
        <v>113</v>
      </c>
      <c r="C295" s="114"/>
      <c r="D295" s="114"/>
      <c r="E295" s="114"/>
      <c r="F295" s="114"/>
      <c r="G295" s="115"/>
      <c r="H295" s="116" t="s">
        <v>10</v>
      </c>
      <c r="I295" s="117">
        <f>TRUNC(SUM(I297:I301),2)</f>
        <v>5279.38</v>
      </c>
    </row>
    <row r="296" spans="1:9" ht="15.75" customHeight="1">
      <c r="A296" s="49" t="s">
        <v>1</v>
      </c>
      <c r="B296" s="50" t="s">
        <v>2</v>
      </c>
      <c r="C296" s="50" t="s">
        <v>30</v>
      </c>
      <c r="D296" s="51" t="s">
        <v>31</v>
      </c>
      <c r="E296" s="52" t="s">
        <v>32</v>
      </c>
      <c r="F296" s="53" t="s">
        <v>4</v>
      </c>
      <c r="G296" s="54" t="s">
        <v>32</v>
      </c>
      <c r="H296" s="55"/>
      <c r="I296" s="51" t="s">
        <v>69</v>
      </c>
    </row>
    <row r="297" spans="1:9" ht="15">
      <c r="A297" s="56">
        <v>1</v>
      </c>
      <c r="B297" s="57" t="s">
        <v>37</v>
      </c>
      <c r="C297" s="56" t="s">
        <v>77</v>
      </c>
      <c r="D297" s="67">
        <v>46</v>
      </c>
      <c r="E297" s="58"/>
      <c r="F297" s="82">
        <v>107.37</v>
      </c>
      <c r="G297" s="59" t="s">
        <v>62</v>
      </c>
      <c r="H297" s="60">
        <v>90778</v>
      </c>
      <c r="I297" s="79">
        <f>TRUNC(D297*F297,4)</f>
        <v>4939.02</v>
      </c>
    </row>
    <row r="298" spans="1:9" s="10" customFormat="1" ht="14.25">
      <c r="A298" s="56" t="s">
        <v>11</v>
      </c>
      <c r="B298" s="57" t="s">
        <v>78</v>
      </c>
      <c r="C298" s="66" t="s">
        <v>79</v>
      </c>
      <c r="D298" s="80">
        <f>ROUND((D297)/176,6)</f>
        <v>0.261364</v>
      </c>
      <c r="E298" s="58"/>
      <c r="F298" s="79">
        <f>TRUNC(171.37*(1+Orcamento!$E$65),4)</f>
        <v>189.4323</v>
      </c>
      <c r="G298" s="74" t="s">
        <v>80</v>
      </c>
      <c r="H298" s="69" t="s">
        <v>55</v>
      </c>
      <c r="I298" s="79">
        <f>TRUNC(D298*F298,4)</f>
        <v>49.5107</v>
      </c>
    </row>
    <row r="299" spans="1:9" s="10" customFormat="1" ht="14.25">
      <c r="A299" s="56" t="s">
        <v>13</v>
      </c>
      <c r="B299" s="71" t="s">
        <v>81</v>
      </c>
      <c r="C299" s="72" t="s">
        <v>82</v>
      </c>
      <c r="D299" s="81">
        <f>ROUND((D297)/(176*12),6)</f>
        <v>0.02178</v>
      </c>
      <c r="E299" s="73"/>
      <c r="F299" s="79">
        <f>TRUNC(6461.72*(1+Orcamento!$E$66),4)</f>
        <v>6700.8036</v>
      </c>
      <c r="G299" s="68" t="s">
        <v>83</v>
      </c>
      <c r="H299" s="69" t="s">
        <v>84</v>
      </c>
      <c r="I299" s="79">
        <f>TRUNC(D299*F299,4)</f>
        <v>145.9435</v>
      </c>
    </row>
    <row r="300" spans="1:9" ht="15">
      <c r="A300" s="56" t="s">
        <v>16</v>
      </c>
      <c r="B300" s="57" t="s">
        <v>35</v>
      </c>
      <c r="C300" s="56" t="s">
        <v>93</v>
      </c>
      <c r="D300" s="67">
        <f>ROUND(D297*1,4)</f>
        <v>46</v>
      </c>
      <c r="E300" s="58"/>
      <c r="F300" s="82">
        <f>TRUNC(0.35*(1+Orcamento!$E$65),4)</f>
        <v>0.3868</v>
      </c>
      <c r="G300" s="65" t="s">
        <v>80</v>
      </c>
      <c r="H300" s="60" t="s">
        <v>87</v>
      </c>
      <c r="I300" s="79">
        <f>TRUNC(D300*F300,4)</f>
        <v>17.7928</v>
      </c>
    </row>
    <row r="301" spans="1:9" ht="15">
      <c r="A301" s="56" t="s">
        <v>51</v>
      </c>
      <c r="B301" s="57" t="s">
        <v>36</v>
      </c>
      <c r="C301" s="56" t="s">
        <v>93</v>
      </c>
      <c r="D301" s="67">
        <f>ROUND(D300*0.5,4)</f>
        <v>23</v>
      </c>
      <c r="E301" s="58"/>
      <c r="F301" s="82">
        <f>TRUNC(5*(1+Orcamento!$E$65),4)</f>
        <v>5.527</v>
      </c>
      <c r="G301" s="65" t="s">
        <v>80</v>
      </c>
      <c r="H301" s="60" t="s">
        <v>85</v>
      </c>
      <c r="I301" s="79">
        <f>TRUNC(D301*F301,4)</f>
        <v>127.121</v>
      </c>
    </row>
    <row r="302" ht="15">
      <c r="B302" s="193"/>
    </row>
    <row r="303" spans="2:5" ht="15">
      <c r="B303" s="193"/>
      <c r="C303" s="6"/>
      <c r="D303" s="6"/>
      <c r="E303" s="6"/>
    </row>
    <row r="304" spans="1:9" ht="15">
      <c r="A304" s="44" t="s">
        <v>28</v>
      </c>
      <c r="B304" s="44" t="s">
        <v>29</v>
      </c>
      <c r="C304" s="45"/>
      <c r="D304" s="45"/>
      <c r="E304" s="45"/>
      <c r="F304" s="45"/>
      <c r="G304" s="46"/>
      <c r="H304" s="43" t="s">
        <v>68</v>
      </c>
      <c r="I304" s="43" t="s">
        <v>67</v>
      </c>
    </row>
    <row r="305" spans="1:9" ht="15">
      <c r="A305" s="47" t="s">
        <v>127</v>
      </c>
      <c r="B305" s="113" t="s">
        <v>116</v>
      </c>
      <c r="C305" s="114"/>
      <c r="D305" s="114"/>
      <c r="E305" s="114"/>
      <c r="F305" s="114"/>
      <c r="G305" s="115"/>
      <c r="H305" s="116" t="s">
        <v>10</v>
      </c>
      <c r="I305" s="117">
        <f>TRUNC(SUM(I307:I311),2)</f>
        <v>1836.31</v>
      </c>
    </row>
    <row r="306" spans="1:9" ht="15.75" customHeight="1">
      <c r="A306" s="49" t="s">
        <v>1</v>
      </c>
      <c r="B306" s="50" t="s">
        <v>2</v>
      </c>
      <c r="C306" s="50" t="s">
        <v>30</v>
      </c>
      <c r="D306" s="51" t="s">
        <v>31</v>
      </c>
      <c r="E306" s="52" t="s">
        <v>32</v>
      </c>
      <c r="F306" s="53" t="s">
        <v>4</v>
      </c>
      <c r="G306" s="54" t="s">
        <v>32</v>
      </c>
      <c r="H306" s="55"/>
      <c r="I306" s="51" t="s">
        <v>69</v>
      </c>
    </row>
    <row r="307" spans="1:9" ht="15">
      <c r="A307" s="56">
        <v>1</v>
      </c>
      <c r="B307" s="57" t="s">
        <v>37</v>
      </c>
      <c r="C307" s="56" t="s">
        <v>77</v>
      </c>
      <c r="D307" s="67">
        <v>16</v>
      </c>
      <c r="E307" s="58"/>
      <c r="F307" s="82">
        <v>107.37</v>
      </c>
      <c r="G307" s="59" t="s">
        <v>62</v>
      </c>
      <c r="H307" s="60">
        <v>90778</v>
      </c>
      <c r="I307" s="79">
        <f>TRUNC(D307*F307,4)</f>
        <v>1717.92</v>
      </c>
    </row>
    <row r="308" spans="1:9" s="10" customFormat="1" ht="14.25">
      <c r="A308" s="56" t="s">
        <v>11</v>
      </c>
      <c r="B308" s="57" t="s">
        <v>78</v>
      </c>
      <c r="C308" s="66" t="s">
        <v>79</v>
      </c>
      <c r="D308" s="80">
        <f>ROUND((D307)/176,6)</f>
        <v>0.090909</v>
      </c>
      <c r="E308" s="58"/>
      <c r="F308" s="79">
        <f>TRUNC(171.37*(1+Orcamento!$E$65),4)</f>
        <v>189.4323</v>
      </c>
      <c r="G308" s="74" t="s">
        <v>80</v>
      </c>
      <c r="H308" s="69" t="s">
        <v>55</v>
      </c>
      <c r="I308" s="79">
        <f>TRUNC(D308*F308,4)</f>
        <v>17.2211</v>
      </c>
    </row>
    <row r="309" spans="1:9" s="10" customFormat="1" ht="14.25">
      <c r="A309" s="56" t="s">
        <v>13</v>
      </c>
      <c r="B309" s="71" t="s">
        <v>81</v>
      </c>
      <c r="C309" s="72" t="s">
        <v>82</v>
      </c>
      <c r="D309" s="81">
        <f>ROUND((D307)/(176*12),6)</f>
        <v>0.007576</v>
      </c>
      <c r="E309" s="73"/>
      <c r="F309" s="79">
        <f>TRUNC(6461.72*(1+Orcamento!$E$66),4)</f>
        <v>6700.8036</v>
      </c>
      <c r="G309" s="68" t="s">
        <v>83</v>
      </c>
      <c r="H309" s="69" t="s">
        <v>84</v>
      </c>
      <c r="I309" s="79">
        <f>TRUNC(D309*F309,4)</f>
        <v>50.7652</v>
      </c>
    </row>
    <row r="310" spans="1:9" ht="15">
      <c r="A310" s="56" t="s">
        <v>16</v>
      </c>
      <c r="B310" s="57" t="s">
        <v>35</v>
      </c>
      <c r="C310" s="56" t="s">
        <v>93</v>
      </c>
      <c r="D310" s="67">
        <f>ROUND(D307*1,4)</f>
        <v>16</v>
      </c>
      <c r="E310" s="58"/>
      <c r="F310" s="82">
        <f>TRUNC(0.35*(1+Orcamento!$E$65),4)</f>
        <v>0.3868</v>
      </c>
      <c r="G310" s="65" t="s">
        <v>80</v>
      </c>
      <c r="H310" s="60" t="s">
        <v>87</v>
      </c>
      <c r="I310" s="79">
        <f>TRUNC(D310*F310,4)</f>
        <v>6.1888</v>
      </c>
    </row>
    <row r="311" spans="1:9" ht="15">
      <c r="A311" s="56" t="s">
        <v>51</v>
      </c>
      <c r="B311" s="57" t="s">
        <v>36</v>
      </c>
      <c r="C311" s="56" t="s">
        <v>93</v>
      </c>
      <c r="D311" s="67">
        <f>ROUND(D310*0.5,4)</f>
        <v>8</v>
      </c>
      <c r="E311" s="58"/>
      <c r="F311" s="82">
        <f>TRUNC(5*(1+Orcamento!$E$65),4)</f>
        <v>5.527</v>
      </c>
      <c r="G311" s="65" t="s">
        <v>80</v>
      </c>
      <c r="H311" s="60" t="s">
        <v>85</v>
      </c>
      <c r="I311" s="79">
        <f>TRUNC(D311*F311,4)</f>
        <v>44.216</v>
      </c>
    </row>
    <row r="312" ht="15">
      <c r="B312" s="193"/>
    </row>
    <row r="313" spans="2:5" ht="15">
      <c r="B313" s="193"/>
      <c r="C313" s="6"/>
      <c r="D313" s="6"/>
      <c r="E313" s="6"/>
    </row>
    <row r="314" spans="1:9" ht="15">
      <c r="A314" s="44" t="s">
        <v>28</v>
      </c>
      <c r="B314" s="44" t="s">
        <v>29</v>
      </c>
      <c r="C314" s="45"/>
      <c r="D314" s="45"/>
      <c r="E314" s="45"/>
      <c r="F314" s="45"/>
      <c r="G314" s="46"/>
      <c r="H314" s="43" t="s">
        <v>68</v>
      </c>
      <c r="I314" s="43" t="s">
        <v>67</v>
      </c>
    </row>
    <row r="315" spans="1:9" ht="15">
      <c r="A315" s="47" t="s">
        <v>175</v>
      </c>
      <c r="B315" s="113" t="s">
        <v>114</v>
      </c>
      <c r="C315" s="114"/>
      <c r="D315" s="114"/>
      <c r="E315" s="114"/>
      <c r="F315" s="114"/>
      <c r="G315" s="115"/>
      <c r="H315" s="116" t="s">
        <v>10</v>
      </c>
      <c r="I315" s="117">
        <f>TRUNC(SUM(I317:I321),2)</f>
        <v>2652.4</v>
      </c>
    </row>
    <row r="316" spans="1:9" ht="15.75" customHeight="1">
      <c r="A316" s="49" t="s">
        <v>1</v>
      </c>
      <c r="B316" s="50" t="s">
        <v>2</v>
      </c>
      <c r="C316" s="50" t="s">
        <v>30</v>
      </c>
      <c r="D316" s="51" t="s">
        <v>31</v>
      </c>
      <c r="E316" s="52" t="s">
        <v>32</v>
      </c>
      <c r="F316" s="53" t="s">
        <v>4</v>
      </c>
      <c r="G316" s="54" t="s">
        <v>32</v>
      </c>
      <c r="H316" s="55"/>
      <c r="I316" s="51" t="s">
        <v>69</v>
      </c>
    </row>
    <row r="317" spans="1:9" ht="15">
      <c r="A317" s="56">
        <v>1</v>
      </c>
      <c r="B317" s="57" t="s">
        <v>37</v>
      </c>
      <c r="C317" s="56" t="s">
        <v>77</v>
      </c>
      <c r="D317" s="67">
        <v>23</v>
      </c>
      <c r="E317" s="58"/>
      <c r="F317" s="82">
        <v>107.37</v>
      </c>
      <c r="G317" s="59" t="s">
        <v>62</v>
      </c>
      <c r="H317" s="60">
        <v>90778</v>
      </c>
      <c r="I317" s="79">
        <f>TRUNC(D317*F317,4)</f>
        <v>2469.51</v>
      </c>
    </row>
    <row r="318" spans="1:9" s="10" customFormat="1" ht="14.25">
      <c r="A318" s="56" t="s">
        <v>11</v>
      </c>
      <c r="B318" s="57" t="s">
        <v>78</v>
      </c>
      <c r="C318" s="66" t="s">
        <v>79</v>
      </c>
      <c r="D318" s="80">
        <f>ROUND((D317)/176,6)</f>
        <v>0.130682</v>
      </c>
      <c r="E318" s="58"/>
      <c r="F318" s="79">
        <f>TRUNC(171.37*(1+Orcamento!$E$65),4)</f>
        <v>189.4323</v>
      </c>
      <c r="G318" s="74" t="s">
        <v>80</v>
      </c>
      <c r="H318" s="69" t="s">
        <v>55</v>
      </c>
      <c r="I318" s="79">
        <f>TRUNC(D318*F318,4)</f>
        <v>24.7553</v>
      </c>
    </row>
    <row r="319" spans="1:9" s="10" customFormat="1" ht="14.25">
      <c r="A319" s="56" t="s">
        <v>13</v>
      </c>
      <c r="B319" s="71" t="s">
        <v>81</v>
      </c>
      <c r="C319" s="72" t="s">
        <v>82</v>
      </c>
      <c r="D319" s="81">
        <f>ROUND((D317)/(176*12),6)</f>
        <v>0.01089</v>
      </c>
      <c r="E319" s="73"/>
      <c r="F319" s="79">
        <f>TRUNC(6461.72*(1+Orcamento!$E$66),4)</f>
        <v>6700.8036</v>
      </c>
      <c r="G319" s="68" t="s">
        <v>83</v>
      </c>
      <c r="H319" s="69" t="s">
        <v>84</v>
      </c>
      <c r="I319" s="79">
        <f>TRUNC(D319*F319,4)</f>
        <v>72.9717</v>
      </c>
    </row>
    <row r="320" spans="1:9" ht="15">
      <c r="A320" s="56" t="s">
        <v>16</v>
      </c>
      <c r="B320" s="57" t="s">
        <v>35</v>
      </c>
      <c r="C320" s="56" t="s">
        <v>93</v>
      </c>
      <c r="D320" s="67">
        <f>ROUND(D317*1,4)</f>
        <v>23</v>
      </c>
      <c r="E320" s="58"/>
      <c r="F320" s="82">
        <f>TRUNC(0.35*(1+Orcamento!$E$65),4)</f>
        <v>0.3868</v>
      </c>
      <c r="G320" s="65" t="s">
        <v>80</v>
      </c>
      <c r="H320" s="60" t="s">
        <v>87</v>
      </c>
      <c r="I320" s="79">
        <f>TRUNC(D320*F320,4)</f>
        <v>8.8964</v>
      </c>
    </row>
    <row r="321" spans="1:9" ht="15">
      <c r="A321" s="56" t="s">
        <v>51</v>
      </c>
      <c r="B321" s="57" t="s">
        <v>42</v>
      </c>
      <c r="C321" s="56" t="s">
        <v>93</v>
      </c>
      <c r="D321" s="67">
        <f>ROUND(D320*0.5,4)</f>
        <v>11.5</v>
      </c>
      <c r="E321" s="58"/>
      <c r="F321" s="82">
        <f>TRUNC(6*(1+Orcamento!$E$65),4)</f>
        <v>6.6324</v>
      </c>
      <c r="G321" s="65" t="s">
        <v>80</v>
      </c>
      <c r="H321" s="60" t="s">
        <v>86</v>
      </c>
      <c r="I321" s="79">
        <f>TRUNC(D321*F321,4)</f>
        <v>76.2726</v>
      </c>
    </row>
    <row r="322" ht="15">
      <c r="B322" s="193"/>
    </row>
    <row r="323" spans="2:5" ht="15">
      <c r="B323" s="193"/>
      <c r="C323" s="6"/>
      <c r="D323" s="6"/>
      <c r="E323" s="6"/>
    </row>
    <row r="324" spans="1:9" ht="15">
      <c r="A324" s="44" t="s">
        <v>28</v>
      </c>
      <c r="B324" s="44" t="s">
        <v>29</v>
      </c>
      <c r="C324" s="45"/>
      <c r="D324" s="45"/>
      <c r="E324" s="45"/>
      <c r="F324" s="45"/>
      <c r="G324" s="46"/>
      <c r="H324" s="43" t="s">
        <v>68</v>
      </c>
      <c r="I324" s="43" t="s">
        <v>67</v>
      </c>
    </row>
    <row r="325" spans="1:9" ht="15">
      <c r="A325" s="47" t="s">
        <v>176</v>
      </c>
      <c r="B325" s="113" t="s">
        <v>52</v>
      </c>
      <c r="C325" s="114"/>
      <c r="D325" s="114"/>
      <c r="E325" s="114"/>
      <c r="F325" s="114"/>
      <c r="G325" s="115"/>
      <c r="H325" s="116" t="s">
        <v>10</v>
      </c>
      <c r="I325" s="117">
        <f>TRUNC(SUM(I327:I332),2)</f>
        <v>7582.66</v>
      </c>
    </row>
    <row r="326" spans="1:9" ht="15.75" customHeight="1">
      <c r="A326" s="49" t="s">
        <v>1</v>
      </c>
      <c r="B326" s="50" t="s">
        <v>2</v>
      </c>
      <c r="C326" s="50" t="s">
        <v>30</v>
      </c>
      <c r="D326" s="51" t="s">
        <v>31</v>
      </c>
      <c r="E326" s="52" t="s">
        <v>32</v>
      </c>
      <c r="F326" s="53" t="s">
        <v>4</v>
      </c>
      <c r="G326" s="54" t="s">
        <v>32</v>
      </c>
      <c r="H326" s="55"/>
      <c r="I326" s="51" t="s">
        <v>69</v>
      </c>
    </row>
    <row r="327" spans="1:9" ht="15">
      <c r="A327" s="56">
        <v>1</v>
      </c>
      <c r="B327" s="57" t="s">
        <v>37</v>
      </c>
      <c r="C327" s="56" t="s">
        <v>77</v>
      </c>
      <c r="D327" s="67">
        <v>63</v>
      </c>
      <c r="E327" s="58"/>
      <c r="F327" s="82">
        <v>107.37</v>
      </c>
      <c r="G327" s="59" t="s">
        <v>62</v>
      </c>
      <c r="H327" s="60">
        <v>90778</v>
      </c>
      <c r="I327" s="79">
        <f aca="true" t="shared" si="3" ref="I327:I332">TRUNC(D327*F327,4)</f>
        <v>6764.31</v>
      </c>
    </row>
    <row r="328" spans="1:9" s="10" customFormat="1" ht="14.25">
      <c r="A328" s="56" t="s">
        <v>11</v>
      </c>
      <c r="B328" s="57" t="s">
        <v>78</v>
      </c>
      <c r="C328" s="66" t="s">
        <v>79</v>
      </c>
      <c r="D328" s="80">
        <f>ROUND((D327)/176,6)</f>
        <v>0.357955</v>
      </c>
      <c r="E328" s="58"/>
      <c r="F328" s="79">
        <f>TRUNC(171.37*(1+Orcamento!$E$65),4)</f>
        <v>189.4323</v>
      </c>
      <c r="G328" s="74" t="s">
        <v>80</v>
      </c>
      <c r="H328" s="69" t="s">
        <v>55</v>
      </c>
      <c r="I328" s="79">
        <f t="shared" si="3"/>
        <v>67.8082</v>
      </c>
    </row>
    <row r="329" spans="1:9" s="10" customFormat="1" ht="14.25">
      <c r="A329" s="56" t="s">
        <v>13</v>
      </c>
      <c r="B329" s="71" t="s">
        <v>81</v>
      </c>
      <c r="C329" s="72" t="s">
        <v>82</v>
      </c>
      <c r="D329" s="81">
        <f>ROUND((D327)/(176*12),6)</f>
        <v>0.02983</v>
      </c>
      <c r="E329" s="73"/>
      <c r="F329" s="79">
        <f>TRUNC(6461.72*(1+Orcamento!$E$66),4)</f>
        <v>6700.8036</v>
      </c>
      <c r="G329" s="68" t="s">
        <v>83</v>
      </c>
      <c r="H329" s="69" t="s">
        <v>84</v>
      </c>
      <c r="I329" s="79">
        <f t="shared" si="3"/>
        <v>199.8849</v>
      </c>
    </row>
    <row r="330" spans="1:9" ht="15">
      <c r="A330" s="56" t="s">
        <v>16</v>
      </c>
      <c r="B330" s="57" t="s">
        <v>35</v>
      </c>
      <c r="C330" s="56" t="s">
        <v>93</v>
      </c>
      <c r="D330" s="67">
        <f>ROUND(D327*1,4)</f>
        <v>63</v>
      </c>
      <c r="E330" s="58"/>
      <c r="F330" s="82">
        <f>TRUNC(0.35*(1+Orcamento!$E$65),4)</f>
        <v>0.3868</v>
      </c>
      <c r="G330" s="65" t="s">
        <v>80</v>
      </c>
      <c r="H330" s="60" t="s">
        <v>87</v>
      </c>
      <c r="I330" s="79">
        <f t="shared" si="3"/>
        <v>24.3684</v>
      </c>
    </row>
    <row r="331" spans="1:9" ht="15">
      <c r="A331" s="56" t="s">
        <v>51</v>
      </c>
      <c r="B331" s="57" t="s">
        <v>42</v>
      </c>
      <c r="C331" s="56" t="s">
        <v>93</v>
      </c>
      <c r="D331" s="67">
        <f>ROUND(D330*0.5,4)</f>
        <v>31.5</v>
      </c>
      <c r="E331" s="58"/>
      <c r="F331" s="82">
        <f>TRUNC(6*(1+Orcamento!$E$65),4)</f>
        <v>6.6324</v>
      </c>
      <c r="G331" s="65" t="s">
        <v>80</v>
      </c>
      <c r="H331" s="60" t="s">
        <v>86</v>
      </c>
      <c r="I331" s="79">
        <f t="shared" si="3"/>
        <v>208.9206</v>
      </c>
    </row>
    <row r="332" spans="1:9" ht="42.75">
      <c r="A332" s="56">
        <v>4</v>
      </c>
      <c r="B332" s="57" t="s">
        <v>39</v>
      </c>
      <c r="C332" s="56" t="s">
        <v>40</v>
      </c>
      <c r="D332" s="67">
        <v>15</v>
      </c>
      <c r="E332" s="58" t="s">
        <v>247</v>
      </c>
      <c r="F332" s="82">
        <v>21.1581</v>
      </c>
      <c r="G332" s="59" t="s">
        <v>41</v>
      </c>
      <c r="H332" s="60"/>
      <c r="I332" s="79">
        <f t="shared" si="3"/>
        <v>317.3715</v>
      </c>
    </row>
    <row r="333" ht="15">
      <c r="B333" s="193"/>
    </row>
    <row r="334" spans="2:5" ht="15">
      <c r="B334" s="193"/>
      <c r="C334" s="6"/>
      <c r="D334" s="6"/>
      <c r="E334" s="6"/>
    </row>
    <row r="335" spans="1:9" ht="15">
      <c r="A335" s="44" t="s">
        <v>28</v>
      </c>
      <c r="B335" s="44" t="s">
        <v>29</v>
      </c>
      <c r="C335" s="45"/>
      <c r="D335" s="45"/>
      <c r="E335" s="45"/>
      <c r="F335" s="45"/>
      <c r="G335" s="46"/>
      <c r="H335" s="43" t="s">
        <v>68</v>
      </c>
      <c r="I335" s="43" t="s">
        <v>67</v>
      </c>
    </row>
    <row r="336" spans="1:9" ht="15">
      <c r="A336" s="47" t="s">
        <v>177</v>
      </c>
      <c r="B336" s="113" t="s">
        <v>180</v>
      </c>
      <c r="C336" s="114"/>
      <c r="D336" s="114"/>
      <c r="E336" s="114"/>
      <c r="F336" s="114"/>
      <c r="G336" s="115"/>
      <c r="H336" s="116" t="s">
        <v>10</v>
      </c>
      <c r="I336" s="117">
        <f>TRUNC(SUM(I338:I342),2)</f>
        <v>1845.15</v>
      </c>
    </row>
    <row r="337" spans="1:9" ht="15.75" customHeight="1">
      <c r="A337" s="49" t="s">
        <v>1</v>
      </c>
      <c r="B337" s="50" t="s">
        <v>2</v>
      </c>
      <c r="C337" s="50" t="s">
        <v>30</v>
      </c>
      <c r="D337" s="51" t="s">
        <v>31</v>
      </c>
      <c r="E337" s="52" t="s">
        <v>32</v>
      </c>
      <c r="F337" s="53" t="s">
        <v>4</v>
      </c>
      <c r="G337" s="54" t="s">
        <v>32</v>
      </c>
      <c r="H337" s="55"/>
      <c r="I337" s="51" t="s">
        <v>69</v>
      </c>
    </row>
    <row r="338" spans="1:9" ht="15">
      <c r="A338" s="56">
        <v>1</v>
      </c>
      <c r="B338" s="57" t="s">
        <v>53</v>
      </c>
      <c r="C338" s="56" t="s">
        <v>77</v>
      </c>
      <c r="D338" s="67">
        <v>16</v>
      </c>
      <c r="E338" s="58"/>
      <c r="F338" s="82">
        <v>107.37</v>
      </c>
      <c r="G338" s="59" t="s">
        <v>62</v>
      </c>
      <c r="H338" s="60">
        <v>90778</v>
      </c>
      <c r="I338" s="79">
        <f>TRUNC(D338*F338,4)</f>
        <v>1717.92</v>
      </c>
    </row>
    <row r="339" spans="1:9" s="10" customFormat="1" ht="14.25">
      <c r="A339" s="56" t="s">
        <v>11</v>
      </c>
      <c r="B339" s="57" t="s">
        <v>78</v>
      </c>
      <c r="C339" s="66" t="s">
        <v>79</v>
      </c>
      <c r="D339" s="80">
        <f>ROUND((D338)/176,6)</f>
        <v>0.090909</v>
      </c>
      <c r="E339" s="58"/>
      <c r="F339" s="79">
        <f>TRUNC(171.37*(1+Orcamento!$E$65),4)</f>
        <v>189.4323</v>
      </c>
      <c r="G339" s="74" t="s">
        <v>80</v>
      </c>
      <c r="H339" s="69" t="s">
        <v>55</v>
      </c>
      <c r="I339" s="79">
        <f>TRUNC(D339*F339,4)</f>
        <v>17.2211</v>
      </c>
    </row>
    <row r="340" spans="1:9" s="10" customFormat="1" ht="14.25">
      <c r="A340" s="56" t="s">
        <v>13</v>
      </c>
      <c r="B340" s="71" t="s">
        <v>81</v>
      </c>
      <c r="C340" s="72" t="s">
        <v>82</v>
      </c>
      <c r="D340" s="81">
        <f>ROUND((D338)/(176*12),6)</f>
        <v>0.007576</v>
      </c>
      <c r="E340" s="73"/>
      <c r="F340" s="79">
        <f>TRUNC(6461.72*(1+Orcamento!$E$66),4)</f>
        <v>6700.8036</v>
      </c>
      <c r="G340" s="68" t="s">
        <v>83</v>
      </c>
      <c r="H340" s="69" t="s">
        <v>84</v>
      </c>
      <c r="I340" s="79">
        <f>TRUNC(D340*F340,4)</f>
        <v>50.7652</v>
      </c>
    </row>
    <row r="341" spans="1:9" ht="15">
      <c r="A341" s="56" t="s">
        <v>16</v>
      </c>
      <c r="B341" s="57" t="s">
        <v>35</v>
      </c>
      <c r="C341" s="56" t="s">
        <v>93</v>
      </c>
      <c r="D341" s="67">
        <f>ROUND(D338*1,4)</f>
        <v>16</v>
      </c>
      <c r="E341" s="58"/>
      <c r="F341" s="82">
        <f>TRUNC(0.35*(1+Orcamento!$E$65),4)</f>
        <v>0.3868</v>
      </c>
      <c r="G341" s="65" t="s">
        <v>80</v>
      </c>
      <c r="H341" s="60" t="s">
        <v>87</v>
      </c>
      <c r="I341" s="79">
        <f>TRUNC(D341*F341,4)</f>
        <v>6.1888</v>
      </c>
    </row>
    <row r="342" spans="1:9" ht="15">
      <c r="A342" s="56" t="s">
        <v>51</v>
      </c>
      <c r="B342" s="57" t="s">
        <v>42</v>
      </c>
      <c r="C342" s="56" t="s">
        <v>93</v>
      </c>
      <c r="D342" s="67">
        <f>ROUND(D341*0.5,4)</f>
        <v>8</v>
      </c>
      <c r="E342" s="58"/>
      <c r="F342" s="82">
        <f>TRUNC(6*(1+Orcamento!$E$65),4)</f>
        <v>6.6324</v>
      </c>
      <c r="G342" s="65" t="s">
        <v>80</v>
      </c>
      <c r="H342" s="60" t="s">
        <v>86</v>
      </c>
      <c r="I342" s="79">
        <f>TRUNC(D342*F342,4)</f>
        <v>53.0592</v>
      </c>
    </row>
    <row r="343" spans="2:5" ht="15">
      <c r="B343" s="193"/>
      <c r="C343" s="6"/>
      <c r="D343" s="6"/>
      <c r="E343" s="6"/>
    </row>
    <row r="344" ht="15">
      <c r="B344" s="193"/>
    </row>
    <row r="345" spans="1:9" ht="15">
      <c r="A345" s="44" t="s">
        <v>28</v>
      </c>
      <c r="B345" s="44" t="s">
        <v>29</v>
      </c>
      <c r="C345" s="45"/>
      <c r="D345" s="45"/>
      <c r="E345" s="45"/>
      <c r="F345" s="45"/>
      <c r="G345" s="46"/>
      <c r="H345" s="43" t="s">
        <v>68</v>
      </c>
      <c r="I345" s="43" t="s">
        <v>67</v>
      </c>
    </row>
    <row r="346" spans="1:9" ht="15">
      <c r="A346" s="47" t="s">
        <v>178</v>
      </c>
      <c r="B346" s="113" t="s">
        <v>102</v>
      </c>
      <c r="C346" s="114"/>
      <c r="D346" s="114"/>
      <c r="E346" s="114"/>
      <c r="F346" s="114"/>
      <c r="G346" s="115"/>
      <c r="H346" s="116" t="s">
        <v>10</v>
      </c>
      <c r="I346" s="117">
        <f>TRUNC(SUM(I348:I352),2)</f>
        <v>3557.84</v>
      </c>
    </row>
    <row r="347" spans="1:9" ht="15.75" customHeight="1">
      <c r="A347" s="49" t="s">
        <v>1</v>
      </c>
      <c r="B347" s="50" t="s">
        <v>2</v>
      </c>
      <c r="C347" s="50" t="s">
        <v>30</v>
      </c>
      <c r="D347" s="51" t="s">
        <v>31</v>
      </c>
      <c r="E347" s="52" t="s">
        <v>32</v>
      </c>
      <c r="F347" s="53" t="s">
        <v>4</v>
      </c>
      <c r="G347" s="54" t="s">
        <v>32</v>
      </c>
      <c r="H347" s="55"/>
      <c r="I347" s="51" t="s">
        <v>69</v>
      </c>
    </row>
    <row r="348" spans="1:9" ht="15">
      <c r="A348" s="56">
        <v>1</v>
      </c>
      <c r="B348" s="57" t="s">
        <v>53</v>
      </c>
      <c r="C348" s="56" t="s">
        <v>77</v>
      </c>
      <c r="D348" s="67">
        <v>31</v>
      </c>
      <c r="E348" s="58"/>
      <c r="F348" s="82">
        <v>107.37</v>
      </c>
      <c r="G348" s="59" t="s">
        <v>62</v>
      </c>
      <c r="H348" s="60">
        <v>90778</v>
      </c>
      <c r="I348" s="79">
        <f>TRUNC(D348*F348,4)</f>
        <v>3328.47</v>
      </c>
    </row>
    <row r="349" spans="1:9" s="10" customFormat="1" ht="14.25">
      <c r="A349" s="56" t="s">
        <v>11</v>
      </c>
      <c r="B349" s="57" t="s">
        <v>78</v>
      </c>
      <c r="C349" s="66" t="s">
        <v>79</v>
      </c>
      <c r="D349" s="80">
        <f>ROUND((D348)/176,6)</f>
        <v>0.176136</v>
      </c>
      <c r="E349" s="58"/>
      <c r="F349" s="79">
        <f>TRUNC(171.37*(1+Orcamento!$E$65),4)</f>
        <v>189.4323</v>
      </c>
      <c r="G349" s="74" t="s">
        <v>80</v>
      </c>
      <c r="H349" s="69" t="s">
        <v>55</v>
      </c>
      <c r="I349" s="79">
        <f>TRUNC(D349*F349,4)</f>
        <v>33.3658</v>
      </c>
    </row>
    <row r="350" spans="1:9" s="10" customFormat="1" ht="14.25">
      <c r="A350" s="56" t="s">
        <v>13</v>
      </c>
      <c r="B350" s="71" t="s">
        <v>81</v>
      </c>
      <c r="C350" s="72" t="s">
        <v>82</v>
      </c>
      <c r="D350" s="81">
        <f>ROUND((D348)/(176*12),6)</f>
        <v>0.014678</v>
      </c>
      <c r="E350" s="73"/>
      <c r="F350" s="79">
        <f>TRUNC(6461.72*(1+Orcamento!$E$66),4)</f>
        <v>6700.8036</v>
      </c>
      <c r="G350" s="68" t="s">
        <v>83</v>
      </c>
      <c r="H350" s="69" t="s">
        <v>84</v>
      </c>
      <c r="I350" s="79">
        <f>TRUNC(D350*F350,4)</f>
        <v>98.3543</v>
      </c>
    </row>
    <row r="351" spans="1:9" ht="15">
      <c r="A351" s="56" t="s">
        <v>16</v>
      </c>
      <c r="B351" s="57" t="s">
        <v>35</v>
      </c>
      <c r="C351" s="56" t="s">
        <v>93</v>
      </c>
      <c r="D351" s="67">
        <f>ROUND(D348*1,4)</f>
        <v>31</v>
      </c>
      <c r="E351" s="58"/>
      <c r="F351" s="82">
        <f>TRUNC(0.35*(1+Orcamento!$E$65),4)</f>
        <v>0.3868</v>
      </c>
      <c r="G351" s="65" t="s">
        <v>80</v>
      </c>
      <c r="H351" s="60" t="s">
        <v>87</v>
      </c>
      <c r="I351" s="79">
        <f>TRUNC(D351*F351,4)</f>
        <v>11.9908</v>
      </c>
    </row>
    <row r="352" spans="1:9" ht="15">
      <c r="A352" s="56" t="s">
        <v>51</v>
      </c>
      <c r="B352" s="57" t="s">
        <v>36</v>
      </c>
      <c r="C352" s="56" t="s">
        <v>93</v>
      </c>
      <c r="D352" s="67">
        <f>ROUND(D351*0.5,4)</f>
        <v>15.5</v>
      </c>
      <c r="E352" s="58"/>
      <c r="F352" s="82">
        <f>TRUNC(5*(1+Orcamento!$E$65),4)</f>
        <v>5.527</v>
      </c>
      <c r="G352" s="65" t="s">
        <v>80</v>
      </c>
      <c r="H352" s="60" t="s">
        <v>85</v>
      </c>
      <c r="I352" s="79">
        <f>TRUNC(D352*F352,4)</f>
        <v>85.6685</v>
      </c>
    </row>
    <row r="353" ht="15">
      <c r="B353" s="193"/>
    </row>
    <row r="354" spans="2:5" ht="15">
      <c r="B354" s="193"/>
      <c r="C354" s="6"/>
      <c r="D354" s="6"/>
      <c r="E354" s="6"/>
    </row>
    <row r="355" spans="1:9" ht="15">
      <c r="A355" s="44" t="s">
        <v>28</v>
      </c>
      <c r="B355" s="44" t="s">
        <v>29</v>
      </c>
      <c r="C355" s="45"/>
      <c r="D355" s="45"/>
      <c r="E355" s="45"/>
      <c r="F355" s="45"/>
      <c r="G355" s="46"/>
      <c r="H355" s="43" t="s">
        <v>68</v>
      </c>
      <c r="I355" s="43" t="s">
        <v>67</v>
      </c>
    </row>
    <row r="356" spans="1:9" ht="15">
      <c r="A356" s="47" t="s">
        <v>158</v>
      </c>
      <c r="B356" s="113" t="s">
        <v>179</v>
      </c>
      <c r="C356" s="114"/>
      <c r="D356" s="114"/>
      <c r="E356" s="114"/>
      <c r="F356" s="114"/>
      <c r="G356" s="115"/>
      <c r="H356" s="116" t="s">
        <v>10</v>
      </c>
      <c r="I356" s="117">
        <f>TRUNC(SUM(I358:I362),2)</f>
        <v>1836.31</v>
      </c>
    </row>
    <row r="357" spans="1:9" ht="15.75" customHeight="1">
      <c r="A357" s="49" t="s">
        <v>1</v>
      </c>
      <c r="B357" s="50" t="s">
        <v>2</v>
      </c>
      <c r="C357" s="50" t="s">
        <v>30</v>
      </c>
      <c r="D357" s="51" t="s">
        <v>31</v>
      </c>
      <c r="E357" s="52" t="s">
        <v>32</v>
      </c>
      <c r="F357" s="53" t="s">
        <v>4</v>
      </c>
      <c r="G357" s="54" t="s">
        <v>32</v>
      </c>
      <c r="H357" s="55"/>
      <c r="I357" s="51" t="s">
        <v>69</v>
      </c>
    </row>
    <row r="358" spans="1:9" ht="15">
      <c r="A358" s="56">
        <v>1</v>
      </c>
      <c r="B358" s="57" t="s">
        <v>53</v>
      </c>
      <c r="C358" s="56" t="s">
        <v>77</v>
      </c>
      <c r="D358" s="67">
        <v>16</v>
      </c>
      <c r="E358" s="58"/>
      <c r="F358" s="82">
        <v>107.37</v>
      </c>
      <c r="G358" s="59" t="s">
        <v>62</v>
      </c>
      <c r="H358" s="60">
        <v>90778</v>
      </c>
      <c r="I358" s="79">
        <f>TRUNC(D358*F358,4)</f>
        <v>1717.92</v>
      </c>
    </row>
    <row r="359" spans="1:9" s="10" customFormat="1" ht="14.25">
      <c r="A359" s="56" t="s">
        <v>11</v>
      </c>
      <c r="B359" s="57" t="s">
        <v>78</v>
      </c>
      <c r="C359" s="66" t="s">
        <v>79</v>
      </c>
      <c r="D359" s="80">
        <f>ROUND((D358)/176,6)</f>
        <v>0.090909</v>
      </c>
      <c r="E359" s="58"/>
      <c r="F359" s="79">
        <f>TRUNC(171.37*(1+Orcamento!$E$65),4)</f>
        <v>189.4323</v>
      </c>
      <c r="G359" s="74" t="s">
        <v>80</v>
      </c>
      <c r="H359" s="69" t="s">
        <v>55</v>
      </c>
      <c r="I359" s="79">
        <f>TRUNC(D359*F359,4)</f>
        <v>17.2211</v>
      </c>
    </row>
    <row r="360" spans="1:9" s="10" customFormat="1" ht="14.25">
      <c r="A360" s="56" t="s">
        <v>13</v>
      </c>
      <c r="B360" s="71" t="s">
        <v>81</v>
      </c>
      <c r="C360" s="72" t="s">
        <v>82</v>
      </c>
      <c r="D360" s="81">
        <f>ROUND((D358)/(176*12),6)</f>
        <v>0.007576</v>
      </c>
      <c r="E360" s="73"/>
      <c r="F360" s="79">
        <f>TRUNC(6461.72*(1+Orcamento!$E$66),4)</f>
        <v>6700.8036</v>
      </c>
      <c r="G360" s="68" t="s">
        <v>83</v>
      </c>
      <c r="H360" s="69" t="s">
        <v>84</v>
      </c>
      <c r="I360" s="79">
        <f>TRUNC(D360*F360,4)</f>
        <v>50.7652</v>
      </c>
    </row>
    <row r="361" spans="1:9" ht="15">
      <c r="A361" s="56" t="s">
        <v>16</v>
      </c>
      <c r="B361" s="57" t="s">
        <v>35</v>
      </c>
      <c r="C361" s="56" t="s">
        <v>93</v>
      </c>
      <c r="D361" s="67">
        <f>ROUND(D358*1,4)</f>
        <v>16</v>
      </c>
      <c r="E361" s="58"/>
      <c r="F361" s="82">
        <f>TRUNC(0.35*(1+Orcamento!$E$65),4)</f>
        <v>0.3868</v>
      </c>
      <c r="G361" s="65" t="s">
        <v>80</v>
      </c>
      <c r="H361" s="60" t="s">
        <v>87</v>
      </c>
      <c r="I361" s="79">
        <f>TRUNC(D361*F361,4)</f>
        <v>6.1888</v>
      </c>
    </row>
    <row r="362" spans="1:9" ht="15">
      <c r="A362" s="56" t="s">
        <v>51</v>
      </c>
      <c r="B362" s="57" t="s">
        <v>36</v>
      </c>
      <c r="C362" s="56" t="s">
        <v>93</v>
      </c>
      <c r="D362" s="67">
        <f>ROUND(D361*0.5,4)</f>
        <v>8</v>
      </c>
      <c r="E362" s="58"/>
      <c r="F362" s="82">
        <f>TRUNC(5*(1+Orcamento!$E$65),4)</f>
        <v>5.527</v>
      </c>
      <c r="G362" s="65" t="s">
        <v>80</v>
      </c>
      <c r="H362" s="60" t="s">
        <v>85</v>
      </c>
      <c r="I362" s="79">
        <f>TRUNC(D362*F362,4)</f>
        <v>44.216</v>
      </c>
    </row>
    <row r="363" ht="15">
      <c r="B363" s="193"/>
    </row>
    <row r="364" spans="2:5" ht="15">
      <c r="B364" s="193"/>
      <c r="C364" s="6"/>
      <c r="D364" s="6"/>
      <c r="E364" s="6"/>
    </row>
    <row r="365" spans="1:9" ht="15">
      <c r="A365" s="44" t="s">
        <v>28</v>
      </c>
      <c r="B365" s="44" t="s">
        <v>29</v>
      </c>
      <c r="C365" s="45"/>
      <c r="D365" s="45"/>
      <c r="E365" s="45"/>
      <c r="F365" s="45"/>
      <c r="G365" s="46"/>
      <c r="H365" s="43" t="s">
        <v>68</v>
      </c>
      <c r="I365" s="43" t="s">
        <v>67</v>
      </c>
    </row>
    <row r="366" spans="1:9" ht="15">
      <c r="A366" s="47" t="s">
        <v>162</v>
      </c>
      <c r="B366" s="113" t="s">
        <v>210</v>
      </c>
      <c r="C366" s="114"/>
      <c r="D366" s="114"/>
      <c r="E366" s="114"/>
      <c r="F366" s="114"/>
      <c r="G366" s="115"/>
      <c r="H366" s="116" t="s">
        <v>10</v>
      </c>
      <c r="I366" s="117">
        <f>TRUNC(SUM(I368:I372),2)</f>
        <v>1693.11</v>
      </c>
    </row>
    <row r="367" spans="1:9" ht="15.75" customHeight="1">
      <c r="A367" s="49" t="s">
        <v>1</v>
      </c>
      <c r="B367" s="50" t="s">
        <v>2</v>
      </c>
      <c r="C367" s="50" t="s">
        <v>30</v>
      </c>
      <c r="D367" s="51" t="s">
        <v>31</v>
      </c>
      <c r="E367" s="52" t="s">
        <v>32</v>
      </c>
      <c r="F367" s="53" t="s">
        <v>4</v>
      </c>
      <c r="G367" s="54" t="s">
        <v>32</v>
      </c>
      <c r="H367" s="55"/>
      <c r="I367" s="51" t="s">
        <v>69</v>
      </c>
    </row>
    <row r="368" spans="1:9" ht="15">
      <c r="A368" s="56">
        <v>1</v>
      </c>
      <c r="B368" s="57" t="s">
        <v>203</v>
      </c>
      <c r="C368" s="56" t="s">
        <v>77</v>
      </c>
      <c r="D368" s="67">
        <v>16</v>
      </c>
      <c r="E368" s="58"/>
      <c r="F368" s="82">
        <v>98.42</v>
      </c>
      <c r="G368" s="59" t="s">
        <v>62</v>
      </c>
      <c r="H368" s="60">
        <v>90769</v>
      </c>
      <c r="I368" s="79">
        <f>TRUNC(D368*F368,4)</f>
        <v>1574.72</v>
      </c>
    </row>
    <row r="369" spans="1:9" s="10" customFormat="1" ht="14.25">
      <c r="A369" s="56" t="s">
        <v>11</v>
      </c>
      <c r="B369" s="57" t="s">
        <v>78</v>
      </c>
      <c r="C369" s="66" t="s">
        <v>79</v>
      </c>
      <c r="D369" s="80">
        <f>ROUND((D368)/176,6)</f>
        <v>0.090909</v>
      </c>
      <c r="E369" s="58"/>
      <c r="F369" s="79">
        <f>TRUNC(171.37*(1+Orcamento!$E$65),4)</f>
        <v>189.4323</v>
      </c>
      <c r="G369" s="74" t="s">
        <v>80</v>
      </c>
      <c r="H369" s="69" t="s">
        <v>55</v>
      </c>
      <c r="I369" s="79">
        <f>TRUNC(D369*F369,4)</f>
        <v>17.2211</v>
      </c>
    </row>
    <row r="370" spans="1:9" s="10" customFormat="1" ht="14.25">
      <c r="A370" s="56" t="s">
        <v>13</v>
      </c>
      <c r="B370" s="71" t="s">
        <v>81</v>
      </c>
      <c r="C370" s="72" t="s">
        <v>82</v>
      </c>
      <c r="D370" s="81">
        <f>ROUND((D368)/(176*12),6)</f>
        <v>0.007576</v>
      </c>
      <c r="E370" s="73"/>
      <c r="F370" s="79">
        <f>TRUNC(6461.72*(1+Orcamento!$E$66),4)</f>
        <v>6700.8036</v>
      </c>
      <c r="G370" s="68" t="s">
        <v>83</v>
      </c>
      <c r="H370" s="69" t="s">
        <v>84</v>
      </c>
      <c r="I370" s="79">
        <f>TRUNC(D370*F370,4)</f>
        <v>50.7652</v>
      </c>
    </row>
    <row r="371" spans="1:9" ht="15">
      <c r="A371" s="56" t="s">
        <v>16</v>
      </c>
      <c r="B371" s="57" t="s">
        <v>35</v>
      </c>
      <c r="C371" s="56" t="s">
        <v>93</v>
      </c>
      <c r="D371" s="67">
        <f>ROUND(D368*1,4)</f>
        <v>16</v>
      </c>
      <c r="E371" s="58"/>
      <c r="F371" s="82">
        <f>TRUNC(0.35*(1+Orcamento!$E$65),4)</f>
        <v>0.3868</v>
      </c>
      <c r="G371" s="65" t="s">
        <v>80</v>
      </c>
      <c r="H371" s="60" t="s">
        <v>87</v>
      </c>
      <c r="I371" s="79">
        <f>TRUNC(D371*F371,4)</f>
        <v>6.1888</v>
      </c>
    </row>
    <row r="372" spans="1:9" ht="15">
      <c r="A372" s="56" t="s">
        <v>51</v>
      </c>
      <c r="B372" s="57" t="s">
        <v>36</v>
      </c>
      <c r="C372" s="56" t="s">
        <v>93</v>
      </c>
      <c r="D372" s="67">
        <f>ROUND(D371*0.5,4)</f>
        <v>8</v>
      </c>
      <c r="E372" s="58"/>
      <c r="F372" s="82">
        <f>TRUNC(5*(1+Orcamento!$E$65),4)</f>
        <v>5.527</v>
      </c>
      <c r="G372" s="65" t="s">
        <v>80</v>
      </c>
      <c r="H372" s="60" t="s">
        <v>85</v>
      </c>
      <c r="I372" s="79">
        <f>TRUNC(D372*F372,4)</f>
        <v>44.216</v>
      </c>
    </row>
    <row r="373" ht="15">
      <c r="B373" s="193"/>
    </row>
    <row r="374" spans="2:5" ht="15">
      <c r="B374" s="193"/>
      <c r="C374" s="6"/>
      <c r="D374" s="6"/>
      <c r="E374" s="6"/>
    </row>
    <row r="375" spans="1:9" ht="15">
      <c r="A375" s="44" t="s">
        <v>28</v>
      </c>
      <c r="B375" s="44" t="s">
        <v>29</v>
      </c>
      <c r="C375" s="45"/>
      <c r="D375" s="45"/>
      <c r="E375" s="45"/>
      <c r="F375" s="45"/>
      <c r="G375" s="46"/>
      <c r="H375" s="43" t="s">
        <v>68</v>
      </c>
      <c r="I375" s="43" t="s">
        <v>67</v>
      </c>
    </row>
    <row r="376" spans="1:9" ht="15">
      <c r="A376" s="47" t="s">
        <v>257</v>
      </c>
      <c r="B376" s="113" t="s">
        <v>211</v>
      </c>
      <c r="C376" s="114"/>
      <c r="D376" s="114"/>
      <c r="E376" s="114"/>
      <c r="F376" s="114"/>
      <c r="G376" s="115"/>
      <c r="H376" s="116" t="s">
        <v>10</v>
      </c>
      <c r="I376" s="117">
        <f>TRUNC(SUM(I378:I382),2)</f>
        <v>1836.31</v>
      </c>
    </row>
    <row r="377" spans="1:9" ht="15.75" customHeight="1">
      <c r="A377" s="49" t="s">
        <v>1</v>
      </c>
      <c r="B377" s="50" t="s">
        <v>2</v>
      </c>
      <c r="C377" s="50" t="s">
        <v>30</v>
      </c>
      <c r="D377" s="51" t="s">
        <v>31</v>
      </c>
      <c r="E377" s="52" t="s">
        <v>32</v>
      </c>
      <c r="F377" s="53" t="s">
        <v>4</v>
      </c>
      <c r="G377" s="54" t="s">
        <v>32</v>
      </c>
      <c r="H377" s="55"/>
      <c r="I377" s="51" t="s">
        <v>69</v>
      </c>
    </row>
    <row r="378" spans="1:9" ht="15">
      <c r="A378" s="56">
        <v>1</v>
      </c>
      <c r="B378" s="57" t="s">
        <v>37</v>
      </c>
      <c r="C378" s="56" t="s">
        <v>77</v>
      </c>
      <c r="D378" s="67">
        <v>16</v>
      </c>
      <c r="E378" s="58"/>
      <c r="F378" s="82">
        <v>107.37</v>
      </c>
      <c r="G378" s="59" t="s">
        <v>62</v>
      </c>
      <c r="H378" s="60">
        <v>90778</v>
      </c>
      <c r="I378" s="79">
        <f>TRUNC(D378*F378,4)</f>
        <v>1717.92</v>
      </c>
    </row>
    <row r="379" spans="1:9" s="10" customFormat="1" ht="14.25">
      <c r="A379" s="56" t="s">
        <v>11</v>
      </c>
      <c r="B379" s="57" t="s">
        <v>78</v>
      </c>
      <c r="C379" s="66" t="s">
        <v>79</v>
      </c>
      <c r="D379" s="80">
        <f>ROUND((D378)/176,6)</f>
        <v>0.090909</v>
      </c>
      <c r="E379" s="58"/>
      <c r="F379" s="79">
        <f>TRUNC(171.37*(1+Orcamento!$E$65),4)</f>
        <v>189.4323</v>
      </c>
      <c r="G379" s="74" t="s">
        <v>80</v>
      </c>
      <c r="H379" s="69" t="s">
        <v>55</v>
      </c>
      <c r="I379" s="79">
        <f>TRUNC(D379*F379,4)</f>
        <v>17.2211</v>
      </c>
    </row>
    <row r="380" spans="1:9" s="10" customFormat="1" ht="14.25">
      <c r="A380" s="56" t="s">
        <v>13</v>
      </c>
      <c r="B380" s="71" t="s">
        <v>81</v>
      </c>
      <c r="C380" s="72" t="s">
        <v>82</v>
      </c>
      <c r="D380" s="81">
        <f>ROUND((D378)/(176*12),6)</f>
        <v>0.007576</v>
      </c>
      <c r="E380" s="73"/>
      <c r="F380" s="79">
        <f>TRUNC(6461.72*(1+Orcamento!$E$66),4)</f>
        <v>6700.8036</v>
      </c>
      <c r="G380" s="68" t="s">
        <v>83</v>
      </c>
      <c r="H380" s="69" t="s">
        <v>84</v>
      </c>
      <c r="I380" s="79">
        <f>TRUNC(D380*F380,4)</f>
        <v>50.7652</v>
      </c>
    </row>
    <row r="381" spans="1:9" ht="15">
      <c r="A381" s="56" t="s">
        <v>16</v>
      </c>
      <c r="B381" s="57" t="s">
        <v>35</v>
      </c>
      <c r="C381" s="56" t="s">
        <v>93</v>
      </c>
      <c r="D381" s="67">
        <f>ROUND(D378*1,4)</f>
        <v>16</v>
      </c>
      <c r="E381" s="58"/>
      <c r="F381" s="82">
        <f>TRUNC(0.35*(1+Orcamento!$E$65),4)</f>
        <v>0.3868</v>
      </c>
      <c r="G381" s="65" t="s">
        <v>80</v>
      </c>
      <c r="H381" s="60" t="s">
        <v>87</v>
      </c>
      <c r="I381" s="79">
        <f>TRUNC(D381*F381,4)</f>
        <v>6.1888</v>
      </c>
    </row>
    <row r="382" spans="1:9" ht="15">
      <c r="A382" s="56" t="s">
        <v>51</v>
      </c>
      <c r="B382" s="57" t="s">
        <v>36</v>
      </c>
      <c r="C382" s="56" t="s">
        <v>93</v>
      </c>
      <c r="D382" s="67">
        <f>ROUND(D381*0.5,4)</f>
        <v>8</v>
      </c>
      <c r="E382" s="58"/>
      <c r="F382" s="82">
        <f>TRUNC(5*(1+Orcamento!$E$65),4)</f>
        <v>5.527</v>
      </c>
      <c r="G382" s="65" t="s">
        <v>80</v>
      </c>
      <c r="H382" s="60" t="s">
        <v>85</v>
      </c>
      <c r="I382" s="79">
        <f>TRUNC(D382*F382,4)</f>
        <v>44.216</v>
      </c>
    </row>
    <row r="383" ht="15">
      <c r="B383" s="193"/>
    </row>
    <row r="384" spans="2:5" ht="15">
      <c r="B384" s="193"/>
      <c r="C384" s="6"/>
      <c r="D384" s="6"/>
      <c r="E384" s="6"/>
    </row>
    <row r="385" spans="1:9" ht="15">
      <c r="A385" s="44" t="s">
        <v>28</v>
      </c>
      <c r="B385" s="44" t="s">
        <v>29</v>
      </c>
      <c r="C385" s="45"/>
      <c r="D385" s="45"/>
      <c r="E385" s="45"/>
      <c r="F385" s="45"/>
      <c r="G385" s="46"/>
      <c r="H385" s="43" t="s">
        <v>68</v>
      </c>
      <c r="I385" s="43" t="s">
        <v>67</v>
      </c>
    </row>
    <row r="386" spans="1:9" ht="15">
      <c r="A386" s="47" t="s">
        <v>258</v>
      </c>
      <c r="B386" s="113" t="s">
        <v>239</v>
      </c>
      <c r="C386" s="114"/>
      <c r="D386" s="114"/>
      <c r="E386" s="114"/>
      <c r="F386" s="114"/>
      <c r="G386" s="115"/>
      <c r="H386" s="116" t="s">
        <v>10</v>
      </c>
      <c r="I386" s="117">
        <f>TRUNC(SUM(I388:I390),2)</f>
        <v>7182.98</v>
      </c>
    </row>
    <row r="387" spans="1:9" ht="15.75" customHeight="1">
      <c r="A387" s="49" t="s">
        <v>1</v>
      </c>
      <c r="B387" s="50" t="s">
        <v>2</v>
      </c>
      <c r="C387" s="50" t="s">
        <v>30</v>
      </c>
      <c r="D387" s="51" t="s">
        <v>31</v>
      </c>
      <c r="E387" s="52" t="s">
        <v>32</v>
      </c>
      <c r="F387" s="53" t="s">
        <v>4</v>
      </c>
      <c r="G387" s="54" t="s">
        <v>32</v>
      </c>
      <c r="H387" s="55"/>
      <c r="I387" s="51" t="s">
        <v>69</v>
      </c>
    </row>
    <row r="388" spans="1:9" ht="15">
      <c r="A388" s="56">
        <v>1</v>
      </c>
      <c r="B388" s="57" t="s">
        <v>37</v>
      </c>
      <c r="C388" s="56" t="s">
        <v>77</v>
      </c>
      <c r="D388" s="67">
        <v>66</v>
      </c>
      <c r="E388" s="58"/>
      <c r="F388" s="82">
        <v>107.37</v>
      </c>
      <c r="G388" s="59" t="s">
        <v>62</v>
      </c>
      <c r="H388" s="60">
        <v>90778</v>
      </c>
      <c r="I388" s="79">
        <f>TRUNC(D388*F388,4)</f>
        <v>7086.42</v>
      </c>
    </row>
    <row r="389" spans="1:9" s="10" customFormat="1" ht="14.25">
      <c r="A389" s="56">
        <v>2</v>
      </c>
      <c r="B389" s="57" t="s">
        <v>78</v>
      </c>
      <c r="C389" s="66" t="s">
        <v>79</v>
      </c>
      <c r="D389" s="80">
        <f>ROUND((D388)/176,6)</f>
        <v>0.375</v>
      </c>
      <c r="E389" s="58"/>
      <c r="F389" s="79">
        <f>TRUNC(171.37*(1+Orcamento!$E$65),4)</f>
        <v>189.4323</v>
      </c>
      <c r="G389" s="74" t="s">
        <v>80</v>
      </c>
      <c r="H389" s="69" t="s">
        <v>55</v>
      </c>
      <c r="I389" s="79">
        <f>TRUNC(D389*F389,4)</f>
        <v>71.0371</v>
      </c>
    </row>
    <row r="390" spans="1:9" ht="15">
      <c r="A390" s="56">
        <v>3</v>
      </c>
      <c r="B390" s="57" t="s">
        <v>35</v>
      </c>
      <c r="C390" s="56" t="s">
        <v>93</v>
      </c>
      <c r="D390" s="67">
        <f>ROUND(D388*1,4)</f>
        <v>66</v>
      </c>
      <c r="E390" s="58"/>
      <c r="F390" s="82">
        <f>TRUNC(0.35*(1+Orcamento!$E$65),4)</f>
        <v>0.3868</v>
      </c>
      <c r="G390" s="65" t="s">
        <v>80</v>
      </c>
      <c r="H390" s="60" t="s">
        <v>87</v>
      </c>
      <c r="I390" s="79">
        <f>TRUNC(D390*F390,4)</f>
        <v>25.5288</v>
      </c>
    </row>
    <row r="391" ht="15">
      <c r="B391" s="19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GridLines="0" zoomScale="70" zoomScaleNormal="70" zoomScalePageLayoutView="0" workbookViewId="0" topLeftCell="A1">
      <selection activeCell="O14" sqref="O14"/>
    </sheetView>
  </sheetViews>
  <sheetFormatPr defaultColWidth="15.28125" defaultRowHeight="15"/>
  <cols>
    <col min="1" max="1" width="8.57421875" style="0" bestFit="1" customWidth="1"/>
    <col min="2" max="2" width="70.8515625" style="0" customWidth="1"/>
    <col min="3" max="4" width="15.7109375" style="0" customWidth="1"/>
    <col min="5" max="5" width="9.7109375" style="0" bestFit="1" customWidth="1"/>
    <col min="6" max="6" width="15.00390625" style="9" bestFit="1" customWidth="1"/>
    <col min="7" max="7" width="9.7109375" style="9" bestFit="1" customWidth="1"/>
    <col min="8" max="8" width="16.421875" style="9" bestFit="1" customWidth="1"/>
    <col min="9" max="9" width="10.00390625" style="9" bestFit="1" customWidth="1"/>
    <col min="10" max="10" width="15.421875" style="9" bestFit="1" customWidth="1"/>
    <col min="11" max="11" width="10.00390625" style="9" bestFit="1" customWidth="1"/>
    <col min="12" max="12" width="11.8515625" style="0" bestFit="1" customWidth="1"/>
    <col min="13" max="13" width="11.57421875" style="0" bestFit="1" customWidth="1"/>
  </cols>
  <sheetData>
    <row r="1" spans="1:9" s="26" customFormat="1" ht="21" thickBot="1">
      <c r="A1" s="25"/>
      <c r="B1" s="25" t="s">
        <v>65</v>
      </c>
      <c r="C1" s="25"/>
      <c r="D1" s="25"/>
      <c r="E1" s="25"/>
      <c r="F1" s="25"/>
      <c r="G1" s="25"/>
      <c r="H1" s="25"/>
      <c r="I1" s="25"/>
    </row>
    <row r="2" spans="1:13" s="26" customFormat="1" ht="18.75">
      <c r="A2" s="27"/>
      <c r="B2" s="28" t="s">
        <v>148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26" customFormat="1" ht="15">
      <c r="A3" s="30"/>
      <c r="B3" s="164" t="s">
        <v>231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4"/>
    </row>
    <row r="4" spans="1:13" s="26" customFormat="1" ht="15">
      <c r="A4" s="30"/>
      <c r="B4" s="32" t="s">
        <v>248</v>
      </c>
      <c r="C4" s="33"/>
      <c r="D4" s="33"/>
      <c r="E4" s="33"/>
      <c r="F4" s="33"/>
      <c r="G4" s="33"/>
      <c r="H4" s="31"/>
      <c r="I4" s="31"/>
      <c r="J4" s="33"/>
      <c r="K4" s="33"/>
      <c r="L4" s="33"/>
      <c r="M4" s="34"/>
    </row>
    <row r="5" spans="1:13" s="26" customFormat="1" ht="14.25">
      <c r="A5" s="30"/>
      <c r="B5" s="31"/>
      <c r="C5" s="33"/>
      <c r="D5" s="33"/>
      <c r="E5" s="31"/>
      <c r="F5" s="33"/>
      <c r="G5" s="31"/>
      <c r="H5" s="31"/>
      <c r="I5" s="31"/>
      <c r="J5" s="31"/>
      <c r="K5" s="31"/>
      <c r="L5" s="31"/>
      <c r="M5" s="34"/>
    </row>
    <row r="6" spans="1:13" s="26" customFormat="1" ht="18">
      <c r="A6" s="42"/>
      <c r="B6" s="36" t="s">
        <v>43</v>
      </c>
      <c r="D6" s="35"/>
      <c r="E6" s="35"/>
      <c r="F6" s="35"/>
      <c r="G6" s="35"/>
      <c r="H6" s="35"/>
      <c r="I6" s="35"/>
      <c r="J6" s="35"/>
      <c r="K6" s="35"/>
      <c r="L6" s="35"/>
      <c r="M6" s="37"/>
    </row>
    <row r="7" spans="1:13" s="26" customFormat="1" ht="18.75" thickBot="1">
      <c r="A7" s="38"/>
      <c r="B7" s="39"/>
      <c r="C7" s="39"/>
      <c r="D7" s="40"/>
      <c r="E7" s="39"/>
      <c r="F7" s="40"/>
      <c r="G7" s="39"/>
      <c r="H7" s="39"/>
      <c r="I7" s="39"/>
      <c r="J7" s="39"/>
      <c r="K7" s="39"/>
      <c r="L7" s="39"/>
      <c r="M7" s="41"/>
    </row>
    <row r="8" spans="1:13" s="131" customFormat="1" ht="15">
      <c r="A8" s="216" t="s">
        <v>1</v>
      </c>
      <c r="B8" s="218" t="s">
        <v>2</v>
      </c>
      <c r="C8" s="220" t="s">
        <v>6</v>
      </c>
      <c r="D8" s="226" t="s">
        <v>232</v>
      </c>
      <c r="E8" s="223"/>
      <c r="F8" s="226" t="s">
        <v>233</v>
      </c>
      <c r="G8" s="223"/>
      <c r="H8" s="226" t="s">
        <v>234</v>
      </c>
      <c r="I8" s="223"/>
      <c r="J8" s="226" t="s">
        <v>235</v>
      </c>
      <c r="K8" s="223"/>
      <c r="L8" s="222" t="s">
        <v>70</v>
      </c>
      <c r="M8" s="223"/>
    </row>
    <row r="9" spans="1:13" s="131" customFormat="1" ht="15">
      <c r="A9" s="217"/>
      <c r="B9" s="219"/>
      <c r="C9" s="221"/>
      <c r="D9" s="132" t="s">
        <v>44</v>
      </c>
      <c r="E9" s="132" t="s">
        <v>230</v>
      </c>
      <c r="F9" s="132" t="s">
        <v>44</v>
      </c>
      <c r="G9" s="132" t="s">
        <v>230</v>
      </c>
      <c r="H9" s="132" t="s">
        <v>44</v>
      </c>
      <c r="I9" s="132" t="s">
        <v>230</v>
      </c>
      <c r="J9" s="132" t="s">
        <v>44</v>
      </c>
      <c r="K9" s="132" t="s">
        <v>230</v>
      </c>
      <c r="L9" s="132" t="s">
        <v>44</v>
      </c>
      <c r="M9" s="132" t="s">
        <v>230</v>
      </c>
    </row>
    <row r="10" spans="1:13" s="138" customFormat="1" ht="15">
      <c r="A10" s="133">
        <f>Orcamento!A9</f>
        <v>1</v>
      </c>
      <c r="B10" s="133" t="str">
        <f>Orcamento!D9</f>
        <v>Administração Local</v>
      </c>
      <c r="C10" s="134"/>
      <c r="D10" s="135"/>
      <c r="E10" s="136"/>
      <c r="F10" s="135"/>
      <c r="G10" s="136"/>
      <c r="H10" s="135"/>
      <c r="I10" s="136"/>
      <c r="J10" s="135"/>
      <c r="K10" s="136"/>
      <c r="L10" s="136"/>
      <c r="M10" s="137"/>
    </row>
    <row r="11" spans="1:14" s="131" customFormat="1" ht="15">
      <c r="A11" s="139" t="str">
        <f>Orcamento!A10</f>
        <v>1.1</v>
      </c>
      <c r="B11" s="140" t="str">
        <f>Orcamento!D10</f>
        <v>Gerenciamento e Compatibilização</v>
      </c>
      <c r="C11" s="141">
        <f>Orcamento!J10</f>
        <v>7258.37</v>
      </c>
      <c r="D11" s="142">
        <f>TRUNC($C11*E11,2)</f>
        <v>1243.83</v>
      </c>
      <c r="E11" s="198">
        <f>SUM(D12:D60)/SUM($C$12:$C$60)</f>
        <v>0.1713662579111182</v>
      </c>
      <c r="F11" s="142">
        <f>TRUNC($C11*G11,2)</f>
        <v>460.77</v>
      </c>
      <c r="G11" s="198">
        <f>SUM(F12:F60)/SUM($C$12:$C$60)</f>
        <v>0.06348192685180325</v>
      </c>
      <c r="H11" s="142">
        <f>TRUNC($C11*I11,2)</f>
        <v>4788.4</v>
      </c>
      <c r="I11" s="198">
        <f>SUM(H12:H60)/SUM($C$12:$C$60)</f>
        <v>0.6597078493740918</v>
      </c>
      <c r="J11" s="201">
        <f>C11-(D11+F11+H11)</f>
        <v>765.3699999999999</v>
      </c>
      <c r="K11" s="198">
        <f>1-(E11+G11+I11)</f>
        <v>0.10544396586298677</v>
      </c>
      <c r="L11" s="170">
        <f>D11+F11+H11+J11</f>
        <v>7258.37</v>
      </c>
      <c r="M11" s="199">
        <f>E11+G11+I11+K11</f>
        <v>1</v>
      </c>
      <c r="N11" s="152"/>
    </row>
    <row r="12" spans="1:14" s="131" customFormat="1" ht="15">
      <c r="A12" s="139" t="str">
        <f>Orcamento!A11</f>
        <v>1.2</v>
      </c>
      <c r="B12" s="140" t="str">
        <f>Orcamento!D11</f>
        <v>Documento de Responsabilidade Técnica</v>
      </c>
      <c r="C12" s="141">
        <f>Orcamento!J11</f>
        <v>1349.55</v>
      </c>
      <c r="D12" s="142">
        <f>TRUNC($C12*E12,2)</f>
        <v>1349.55</v>
      </c>
      <c r="E12" s="197">
        <v>1</v>
      </c>
      <c r="F12" s="142"/>
      <c r="G12" s="144"/>
      <c r="H12" s="142"/>
      <c r="I12" s="144"/>
      <c r="J12" s="142"/>
      <c r="K12" s="144"/>
      <c r="L12" s="170">
        <f>D12+F12+H12+J12</f>
        <v>1349.55</v>
      </c>
      <c r="M12" s="199">
        <f>E12+G12+I12+K12</f>
        <v>1</v>
      </c>
      <c r="N12" s="152"/>
    </row>
    <row r="13" spans="1:13" s="138" customFormat="1" ht="15">
      <c r="A13" s="133">
        <f>Orcamento!A12</f>
        <v>2</v>
      </c>
      <c r="B13" s="133" t="str">
        <f>Orcamento!D12</f>
        <v>Levantamentos</v>
      </c>
      <c r="C13" s="134"/>
      <c r="D13" s="135"/>
      <c r="E13" s="136"/>
      <c r="F13" s="135"/>
      <c r="G13" s="136"/>
      <c r="H13" s="135"/>
      <c r="I13" s="136"/>
      <c r="J13" s="135"/>
      <c r="K13" s="136"/>
      <c r="L13" s="136"/>
      <c r="M13" s="200"/>
    </row>
    <row r="14" spans="1:14" s="131" customFormat="1" ht="15">
      <c r="A14" s="139" t="str">
        <f>Orcamento!A13</f>
        <v>2.1</v>
      </c>
      <c r="B14" s="140" t="str">
        <f>Orcamento!D13</f>
        <v>Prospecção de Solo/Sondagem</v>
      </c>
      <c r="C14" s="141">
        <f>Orcamento!J13</f>
        <v>7818.19</v>
      </c>
      <c r="D14" s="142">
        <f aca="true" t="shared" si="0" ref="D14:D19">TRUNC($C14*E14,2)</f>
        <v>7818.19</v>
      </c>
      <c r="E14" s="197">
        <v>1</v>
      </c>
      <c r="F14" s="142"/>
      <c r="G14" s="144"/>
      <c r="H14" s="142"/>
      <c r="I14" s="144"/>
      <c r="J14" s="142"/>
      <c r="K14" s="144"/>
      <c r="L14" s="170">
        <f aca="true" t="shared" si="1" ref="L14:L19">D14+F14+H14+J14</f>
        <v>7818.19</v>
      </c>
      <c r="M14" s="199">
        <f aca="true" t="shared" si="2" ref="M14:M19">E14+G14+I14+K14</f>
        <v>1</v>
      </c>
      <c r="N14" s="152"/>
    </row>
    <row r="15" spans="1:14" s="131" customFormat="1" ht="15">
      <c r="A15" s="139" t="str">
        <f>Orcamento!A14</f>
        <v>2.2</v>
      </c>
      <c r="B15" s="140" t="str">
        <f>Orcamento!D14</f>
        <v>Topográfico Planialtimétrico</v>
      </c>
      <c r="C15" s="141">
        <f>Orcamento!J14</f>
        <v>634.77</v>
      </c>
      <c r="D15" s="142">
        <f t="shared" si="0"/>
        <v>634.77</v>
      </c>
      <c r="E15" s="197">
        <v>1</v>
      </c>
      <c r="F15" s="142"/>
      <c r="G15" s="144"/>
      <c r="H15" s="142"/>
      <c r="I15" s="144"/>
      <c r="J15" s="142"/>
      <c r="K15" s="144"/>
      <c r="L15" s="170">
        <f t="shared" si="1"/>
        <v>634.77</v>
      </c>
      <c r="M15" s="199">
        <f t="shared" si="2"/>
        <v>1</v>
      </c>
      <c r="N15" s="152"/>
    </row>
    <row r="16" spans="1:14" s="131" customFormat="1" ht="15">
      <c r="A16" s="139" t="str">
        <f>Orcamento!A15</f>
        <v>2.3</v>
      </c>
      <c r="B16" s="140" t="str">
        <f>Orcamento!D15</f>
        <v>Levantamento Fisico / Cadastral</v>
      </c>
      <c r="C16" s="141">
        <f>Orcamento!J15</f>
        <v>2753.38</v>
      </c>
      <c r="D16" s="142">
        <f t="shared" si="0"/>
        <v>2753.38</v>
      </c>
      <c r="E16" s="197">
        <v>1</v>
      </c>
      <c r="F16" s="142"/>
      <c r="G16" s="144"/>
      <c r="H16" s="142"/>
      <c r="I16" s="144"/>
      <c r="J16" s="142"/>
      <c r="K16" s="169"/>
      <c r="L16" s="170">
        <f t="shared" si="1"/>
        <v>2753.38</v>
      </c>
      <c r="M16" s="199">
        <f t="shared" si="2"/>
        <v>1</v>
      </c>
      <c r="N16" s="152"/>
    </row>
    <row r="17" spans="1:14" s="131" customFormat="1" ht="15">
      <c r="A17" s="139" t="str">
        <f>Orcamento!A16</f>
        <v>2.4</v>
      </c>
      <c r="B17" s="140" t="str">
        <f>Orcamento!D16</f>
        <v>Perícia e Prescrição Técnica</v>
      </c>
      <c r="C17" s="141">
        <f>Orcamento!J16</f>
        <v>4439.83</v>
      </c>
      <c r="D17" s="142">
        <f t="shared" si="0"/>
        <v>4439.83</v>
      </c>
      <c r="E17" s="197">
        <v>1</v>
      </c>
      <c r="F17" s="142"/>
      <c r="G17" s="144"/>
      <c r="H17" s="142"/>
      <c r="I17" s="144"/>
      <c r="J17" s="142"/>
      <c r="K17" s="144"/>
      <c r="L17" s="170">
        <f t="shared" si="1"/>
        <v>4439.83</v>
      </c>
      <c r="M17" s="199">
        <f t="shared" si="2"/>
        <v>1</v>
      </c>
      <c r="N17" s="152"/>
    </row>
    <row r="18" spans="1:14" s="131" customFormat="1" ht="15">
      <c r="A18" s="139" t="str">
        <f>Orcamento!A17</f>
        <v>2.5</v>
      </c>
      <c r="B18" s="140" t="str">
        <f>Orcamento!D17</f>
        <v>Diretrizes de Regularização e Licenciamento</v>
      </c>
      <c r="C18" s="141">
        <f>Orcamento!J17</f>
        <v>2420.14</v>
      </c>
      <c r="D18" s="142">
        <f t="shared" si="0"/>
        <v>2420.14</v>
      </c>
      <c r="E18" s="197">
        <v>1</v>
      </c>
      <c r="F18" s="142"/>
      <c r="G18" s="144"/>
      <c r="H18" s="142"/>
      <c r="I18" s="144"/>
      <c r="J18" s="142"/>
      <c r="K18" s="144"/>
      <c r="L18" s="170">
        <f t="shared" si="1"/>
        <v>2420.14</v>
      </c>
      <c r="M18" s="199">
        <f t="shared" si="2"/>
        <v>1</v>
      </c>
      <c r="N18" s="152"/>
    </row>
    <row r="19" spans="1:14" s="131" customFormat="1" ht="28.5">
      <c r="A19" s="139" t="str">
        <f>Orcamento!A18</f>
        <v>2.6</v>
      </c>
      <c r="B19" s="140" t="str">
        <f>Orcamento!D18</f>
        <v>Cadastro Redes de Abastecimento e de Infraestrutura (DEP/DMAE/PROCEMPA/CEEE)</v>
      </c>
      <c r="C19" s="141">
        <f>Orcamento!J18</f>
        <v>2373.59</v>
      </c>
      <c r="D19" s="142">
        <f t="shared" si="0"/>
        <v>2373.59</v>
      </c>
      <c r="E19" s="197">
        <v>1</v>
      </c>
      <c r="F19" s="142"/>
      <c r="G19" s="144"/>
      <c r="H19" s="142"/>
      <c r="I19" s="144"/>
      <c r="J19" s="142"/>
      <c r="K19" s="144"/>
      <c r="L19" s="170">
        <f t="shared" si="1"/>
        <v>2373.59</v>
      </c>
      <c r="M19" s="199">
        <f t="shared" si="2"/>
        <v>1</v>
      </c>
      <c r="N19" s="152"/>
    </row>
    <row r="20" spans="1:14" s="131" customFormat="1" ht="15">
      <c r="A20" s="139" t="str">
        <f>Orcamento!A19</f>
        <v>2.7</v>
      </c>
      <c r="B20" s="140" t="str">
        <f>Orcamento!D19</f>
        <v>Laudo de Cobertura Vegetal</v>
      </c>
      <c r="C20" s="141">
        <f>Orcamento!J19</f>
        <v>2298.92</v>
      </c>
      <c r="D20" s="201">
        <f>TRUNC($C20*E20,2)</f>
        <v>2298.92</v>
      </c>
      <c r="E20" s="197">
        <v>1</v>
      </c>
      <c r="F20" s="142"/>
      <c r="G20" s="197"/>
      <c r="H20" s="142"/>
      <c r="I20" s="144"/>
      <c r="J20" s="142"/>
      <c r="K20" s="144"/>
      <c r="L20" s="170">
        <f aca="true" t="shared" si="3" ref="L20:M22">D20+F20+H20+J20</f>
        <v>2298.92</v>
      </c>
      <c r="M20" s="199">
        <f t="shared" si="3"/>
        <v>1</v>
      </c>
      <c r="N20" s="152"/>
    </row>
    <row r="21" spans="1:14" s="131" customFormat="1" ht="15">
      <c r="A21" s="139" t="str">
        <f>Orcamento!A20</f>
        <v>2.8</v>
      </c>
      <c r="B21" s="140" t="str">
        <f>Orcamento!D20</f>
        <v>Consulta Potencial Arqueológico</v>
      </c>
      <c r="C21" s="141">
        <f>Orcamento!J20</f>
        <v>1524.89</v>
      </c>
      <c r="D21" s="201">
        <f>TRUNC($C21*E21,2)</f>
        <v>1524.89</v>
      </c>
      <c r="E21" s="197">
        <v>1</v>
      </c>
      <c r="F21" s="142"/>
      <c r="G21" s="197"/>
      <c r="H21" s="142"/>
      <c r="I21" s="144"/>
      <c r="J21" s="142"/>
      <c r="K21" s="144"/>
      <c r="L21" s="170">
        <f t="shared" si="3"/>
        <v>1524.89</v>
      </c>
      <c r="M21" s="199">
        <f t="shared" si="3"/>
        <v>1</v>
      </c>
      <c r="N21" s="152"/>
    </row>
    <row r="22" spans="1:14" s="131" customFormat="1" ht="15">
      <c r="A22" s="139" t="str">
        <f>Orcamento!A21</f>
        <v>2.9</v>
      </c>
      <c r="B22" s="140" t="str">
        <f>Orcamento!D21</f>
        <v>Pesquisa de Tipologia, Morfologia e Programa de Necessidades</v>
      </c>
      <c r="C22" s="141">
        <f>Orcamento!J21</f>
        <v>2074.4</v>
      </c>
      <c r="D22" s="201">
        <f>TRUNC($C22*E22,2)</f>
        <v>2074.4</v>
      </c>
      <c r="E22" s="197">
        <v>1</v>
      </c>
      <c r="F22" s="142"/>
      <c r="G22" s="197"/>
      <c r="H22" s="142"/>
      <c r="I22" s="144"/>
      <c r="J22" s="142"/>
      <c r="K22" s="144"/>
      <c r="L22" s="170">
        <f t="shared" si="3"/>
        <v>2074.4</v>
      </c>
      <c r="M22" s="199">
        <f t="shared" si="3"/>
        <v>1</v>
      </c>
      <c r="N22" s="152"/>
    </row>
    <row r="23" spans="1:13" s="138" customFormat="1" ht="15">
      <c r="A23" s="133">
        <f>Orcamento!A22</f>
        <v>3</v>
      </c>
      <c r="B23" s="133" t="str">
        <f>Orcamento!D22</f>
        <v>Estudo Preliminar e de Regularização Legal/Normativa</v>
      </c>
      <c r="C23" s="134"/>
      <c r="D23" s="135"/>
      <c r="E23" s="136"/>
      <c r="F23" s="135"/>
      <c r="G23" s="136"/>
      <c r="H23" s="135"/>
      <c r="I23" s="136"/>
      <c r="J23" s="135"/>
      <c r="K23" s="136"/>
      <c r="L23" s="136"/>
      <c r="M23" s="200"/>
    </row>
    <row r="24" spans="1:14" s="131" customFormat="1" ht="15">
      <c r="A24" s="139" t="str">
        <f>Orcamento!A23</f>
        <v>3.1</v>
      </c>
      <c r="B24" s="140" t="str">
        <f>Orcamento!D20</f>
        <v>Consulta Potencial Arqueológico</v>
      </c>
      <c r="C24" s="141">
        <f>Orcamento!J23</f>
        <v>5070.77</v>
      </c>
      <c r="D24" s="201"/>
      <c r="E24" s="144"/>
      <c r="F24" s="201">
        <f>TRUNC($C24*G24,2)</f>
        <v>5070.77</v>
      </c>
      <c r="G24" s="197">
        <v>1</v>
      </c>
      <c r="H24" s="201"/>
      <c r="I24" s="144"/>
      <c r="J24" s="201"/>
      <c r="K24" s="144"/>
      <c r="L24" s="170">
        <f aca="true" t="shared" si="4" ref="L24:M26">D24+F24+H24+J24</f>
        <v>5070.77</v>
      </c>
      <c r="M24" s="199">
        <f t="shared" si="4"/>
        <v>1</v>
      </c>
      <c r="N24" s="152"/>
    </row>
    <row r="25" spans="1:14" s="131" customFormat="1" ht="15">
      <c r="A25" s="139" t="str">
        <f>Orcamento!A24</f>
        <v>3.2</v>
      </c>
      <c r="B25" s="140" t="str">
        <f>Orcamento!D21</f>
        <v>Pesquisa de Tipologia, Morfologia e Programa de Necessidades</v>
      </c>
      <c r="C25" s="141">
        <f>Orcamento!J24</f>
        <v>2650.63</v>
      </c>
      <c r="D25" s="142"/>
      <c r="E25" s="144"/>
      <c r="F25" s="142">
        <f>TRUNC($C25*G25,2)</f>
        <v>2650.63</v>
      </c>
      <c r="G25" s="197">
        <v>1</v>
      </c>
      <c r="H25" s="142"/>
      <c r="I25" s="144"/>
      <c r="J25" s="142"/>
      <c r="K25" s="144"/>
      <c r="L25" s="170">
        <f t="shared" si="4"/>
        <v>2650.63</v>
      </c>
      <c r="M25" s="199">
        <f t="shared" si="4"/>
        <v>1</v>
      </c>
      <c r="N25" s="152"/>
    </row>
    <row r="26" spans="1:14" s="131" customFormat="1" ht="15">
      <c r="A26" s="139" t="str">
        <f>Orcamento!A25</f>
        <v>3.3</v>
      </c>
      <c r="B26" s="140" t="str">
        <f>Orcamento!D22</f>
        <v>Estudo Preliminar e de Regularização Legal/Normativa</v>
      </c>
      <c r="C26" s="141">
        <f>Orcamento!J25</f>
        <v>2535.38</v>
      </c>
      <c r="D26" s="201"/>
      <c r="E26" s="144"/>
      <c r="F26" s="201">
        <f>TRUNC($C26*G26,2)</f>
        <v>2535.38</v>
      </c>
      <c r="G26" s="197">
        <v>1</v>
      </c>
      <c r="H26" s="201"/>
      <c r="I26" s="144"/>
      <c r="J26" s="201"/>
      <c r="K26" s="144"/>
      <c r="L26" s="170">
        <f t="shared" si="4"/>
        <v>2535.38</v>
      </c>
      <c r="M26" s="199">
        <f t="shared" si="4"/>
        <v>1</v>
      </c>
      <c r="N26" s="152"/>
    </row>
    <row r="27" spans="1:13" s="138" customFormat="1" ht="15">
      <c r="A27" s="133">
        <f>Orcamento!A26</f>
        <v>4</v>
      </c>
      <c r="B27" s="133" t="str">
        <f>Orcamento!D26</f>
        <v>Projetos Executivo</v>
      </c>
      <c r="C27" s="134"/>
      <c r="D27" s="135"/>
      <c r="E27" s="136"/>
      <c r="F27" s="135"/>
      <c r="G27" s="136"/>
      <c r="H27" s="135"/>
      <c r="I27" s="136"/>
      <c r="J27" s="135"/>
      <c r="K27" s="136"/>
      <c r="L27" s="136"/>
      <c r="M27" s="200"/>
    </row>
    <row r="28" spans="1:14" s="131" customFormat="1" ht="15">
      <c r="A28" s="202" t="str">
        <f>Orcamento!A27</f>
        <v>4.1</v>
      </c>
      <c r="B28" s="203" t="str">
        <f>Orcamento!D27</f>
        <v>Projeto Compatibilização</v>
      </c>
      <c r="C28" s="204"/>
      <c r="D28" s="205"/>
      <c r="E28" s="206"/>
      <c r="F28" s="205"/>
      <c r="G28" s="206"/>
      <c r="H28" s="205"/>
      <c r="I28" s="206"/>
      <c r="J28" s="205"/>
      <c r="K28" s="206"/>
      <c r="L28" s="166"/>
      <c r="M28" s="199"/>
      <c r="N28" s="152"/>
    </row>
    <row r="29" spans="1:14" s="131" customFormat="1" ht="15">
      <c r="A29" s="139" t="str">
        <f>Orcamento!A28</f>
        <v>4.1.1</v>
      </c>
      <c r="B29" s="140" t="str">
        <f>Orcamento!D28</f>
        <v>Projeto de Compatibilização</v>
      </c>
      <c r="C29" s="141">
        <f>Orcamento!J28</f>
        <v>4395.38</v>
      </c>
      <c r="D29" s="142"/>
      <c r="E29" s="144"/>
      <c r="F29" s="142"/>
      <c r="G29" s="144"/>
      <c r="H29" s="142">
        <f>TRUNC($C29*I29,2)</f>
        <v>4395.38</v>
      </c>
      <c r="I29" s="197">
        <v>1</v>
      </c>
      <c r="J29" s="142"/>
      <c r="K29" s="197"/>
      <c r="L29" s="170">
        <f>D29+F29+H29+J29</f>
        <v>4395.38</v>
      </c>
      <c r="M29" s="199">
        <f>E29+G29+I29+K29</f>
        <v>1</v>
      </c>
      <c r="N29" s="152"/>
    </row>
    <row r="30" spans="1:14" s="131" customFormat="1" ht="15">
      <c r="A30" s="202" t="str">
        <f>Orcamento!A29</f>
        <v>4.2</v>
      </c>
      <c r="B30" s="203" t="str">
        <f>Orcamento!D29</f>
        <v>Projeto Arquitetonico</v>
      </c>
      <c r="C30" s="204"/>
      <c r="D30" s="205"/>
      <c r="E30" s="206"/>
      <c r="F30" s="205"/>
      <c r="G30" s="206"/>
      <c r="H30" s="205"/>
      <c r="I30" s="206"/>
      <c r="J30" s="205"/>
      <c r="K30" s="206"/>
      <c r="L30" s="166"/>
      <c r="M30" s="199"/>
      <c r="N30" s="152"/>
    </row>
    <row r="31" spans="1:14" s="131" customFormat="1" ht="15">
      <c r="A31" s="139" t="str">
        <f>Orcamento!A30</f>
        <v>4.2.1</v>
      </c>
      <c r="B31" s="140" t="str">
        <f>Orcamento!D30</f>
        <v>Projeto de Arquitetonico</v>
      </c>
      <c r="C31" s="141">
        <f>Orcamento!J30</f>
        <v>26982.84</v>
      </c>
      <c r="D31" s="142"/>
      <c r="E31" s="144"/>
      <c r="F31" s="142"/>
      <c r="G31" s="144"/>
      <c r="H31" s="142">
        <f>TRUNC($C31*I31,2)</f>
        <v>26982.84</v>
      </c>
      <c r="I31" s="197">
        <v>1</v>
      </c>
      <c r="J31" s="142"/>
      <c r="K31" s="197"/>
      <c r="L31" s="170">
        <f>D31+F31+H31+J31</f>
        <v>26982.84</v>
      </c>
      <c r="M31" s="199">
        <f>E31+G31+I31+K31</f>
        <v>1</v>
      </c>
      <c r="N31" s="152"/>
    </row>
    <row r="32" spans="1:14" s="131" customFormat="1" ht="15">
      <c r="A32" s="202" t="str">
        <f>Orcamento!A31</f>
        <v>4.3</v>
      </c>
      <c r="B32" s="203" t="str">
        <f>Orcamento!D31</f>
        <v>Projeto Estrutural</v>
      </c>
      <c r="C32" s="204"/>
      <c r="D32" s="205"/>
      <c r="E32" s="206"/>
      <c r="F32" s="205"/>
      <c r="G32" s="206"/>
      <c r="H32" s="205"/>
      <c r="I32" s="206"/>
      <c r="J32" s="205"/>
      <c r="K32" s="206"/>
      <c r="L32" s="166"/>
      <c r="M32" s="199"/>
      <c r="N32" s="152"/>
    </row>
    <row r="33" spans="1:15" s="138" customFormat="1" ht="15">
      <c r="A33" s="139" t="str">
        <f>Orcamento!A32</f>
        <v>4.3.1</v>
      </c>
      <c r="B33" s="140" t="str">
        <f>Orcamento!D32</f>
        <v>Projeto de Fundações</v>
      </c>
      <c r="C33" s="141">
        <f>Orcamento!J32</f>
        <v>10196.39</v>
      </c>
      <c r="D33" s="142"/>
      <c r="E33" s="144"/>
      <c r="F33" s="142"/>
      <c r="G33" s="144"/>
      <c r="H33" s="142">
        <f>TRUNC($C33*I33,2)</f>
        <v>10196.39</v>
      </c>
      <c r="I33" s="197">
        <v>1</v>
      </c>
      <c r="J33" s="142"/>
      <c r="K33" s="197"/>
      <c r="L33" s="170">
        <f aca="true" t="shared" si="5" ref="L33:M35">D33+F33+H33+J33</f>
        <v>10196.39</v>
      </c>
      <c r="M33" s="199">
        <f t="shared" si="5"/>
        <v>1</v>
      </c>
      <c r="N33" s="152"/>
      <c r="O33" s="131"/>
    </row>
    <row r="34" spans="1:14" s="131" customFormat="1" ht="15">
      <c r="A34" s="139" t="str">
        <f>Orcamento!A33</f>
        <v>4.3.2</v>
      </c>
      <c r="B34" s="140" t="str">
        <f>Orcamento!D33</f>
        <v>Projeto de Estruturas Concreto Armado</v>
      </c>
      <c r="C34" s="141">
        <f>Orcamento!J33</f>
        <v>3045.67</v>
      </c>
      <c r="D34" s="142"/>
      <c r="E34" s="144"/>
      <c r="F34" s="142"/>
      <c r="G34" s="144"/>
      <c r="H34" s="142">
        <f>TRUNC($C34*I34,2)</f>
        <v>3045.67</v>
      </c>
      <c r="I34" s="197">
        <v>1</v>
      </c>
      <c r="J34" s="142"/>
      <c r="K34" s="197"/>
      <c r="L34" s="170">
        <f t="shared" si="5"/>
        <v>3045.67</v>
      </c>
      <c r="M34" s="199">
        <f t="shared" si="5"/>
        <v>1</v>
      </c>
      <c r="N34" s="152"/>
    </row>
    <row r="35" spans="1:14" s="131" customFormat="1" ht="15">
      <c r="A35" s="139" t="str">
        <f>Orcamento!A34</f>
        <v>4.3.3</v>
      </c>
      <c r="B35" s="140" t="str">
        <f>Orcamento!D34</f>
        <v>Projeto de Estruturas Metálica</v>
      </c>
      <c r="C35" s="141">
        <f>Orcamento!J34</f>
        <v>7945.25</v>
      </c>
      <c r="D35" s="142"/>
      <c r="E35" s="144"/>
      <c r="F35" s="142"/>
      <c r="G35" s="144"/>
      <c r="H35" s="142">
        <f>TRUNC($C35*I35,2)</f>
        <v>7945.25</v>
      </c>
      <c r="I35" s="197">
        <v>1</v>
      </c>
      <c r="J35" s="142"/>
      <c r="K35" s="197"/>
      <c r="L35" s="170">
        <f t="shared" si="5"/>
        <v>7945.25</v>
      </c>
      <c r="M35" s="199">
        <f t="shared" si="5"/>
        <v>1</v>
      </c>
      <c r="N35" s="152"/>
    </row>
    <row r="36" spans="1:14" s="131" customFormat="1" ht="15">
      <c r="A36" s="202" t="str">
        <f>Orcamento!A35</f>
        <v>4.4</v>
      </c>
      <c r="B36" s="203" t="str">
        <f>Orcamento!D35</f>
        <v>Projeto Elétrico</v>
      </c>
      <c r="C36" s="204"/>
      <c r="D36" s="205"/>
      <c r="E36" s="206"/>
      <c r="F36" s="205"/>
      <c r="G36" s="206"/>
      <c r="H36" s="205"/>
      <c r="I36" s="206"/>
      <c r="J36" s="205"/>
      <c r="K36" s="206"/>
      <c r="L36" s="166"/>
      <c r="M36" s="199"/>
      <c r="N36" s="152"/>
    </row>
    <row r="37" spans="1:14" s="131" customFormat="1" ht="15">
      <c r="A37" s="139" t="str">
        <f>Orcamento!A36</f>
        <v>4.4.1</v>
      </c>
      <c r="B37" s="140" t="str">
        <f>Orcamento!D36</f>
        <v>Projeto de Entrada Energia</v>
      </c>
      <c r="C37" s="141">
        <f>Orcamento!J36</f>
        <v>4903.06</v>
      </c>
      <c r="D37" s="142"/>
      <c r="E37" s="144"/>
      <c r="F37" s="142"/>
      <c r="G37" s="144"/>
      <c r="H37" s="142">
        <f>TRUNC($C37*I37,2)</f>
        <v>4903.06</v>
      </c>
      <c r="I37" s="197">
        <v>1</v>
      </c>
      <c r="J37" s="142"/>
      <c r="K37" s="197"/>
      <c r="L37" s="170">
        <f aca="true" t="shared" si="6" ref="L37:L45">D37+F37+H37+J37</f>
        <v>4903.06</v>
      </c>
      <c r="M37" s="199">
        <f aca="true" t="shared" si="7" ref="M37:M45">E37+G37+I37+K37</f>
        <v>1</v>
      </c>
      <c r="N37" s="152"/>
    </row>
    <row r="38" spans="1:14" s="131" customFormat="1" ht="15">
      <c r="A38" s="139" t="str">
        <f>Orcamento!A37</f>
        <v>4.4.4</v>
      </c>
      <c r="B38" s="140" t="str">
        <f>Orcamento!D37</f>
        <v>Projeto de Quadro Geral de Baixa Tensão e Centros de Distribuição</v>
      </c>
      <c r="C38" s="141">
        <f>Orcamento!J37</f>
        <v>1937.92</v>
      </c>
      <c r="D38" s="201"/>
      <c r="E38" s="144"/>
      <c r="F38" s="201"/>
      <c r="G38" s="144"/>
      <c r="H38" s="201">
        <f aca="true" t="shared" si="8" ref="H38:H45">TRUNC($C38*I38,2)</f>
        <v>1937.92</v>
      </c>
      <c r="I38" s="197">
        <v>1</v>
      </c>
      <c r="J38" s="142"/>
      <c r="K38" s="197"/>
      <c r="L38" s="170">
        <f t="shared" si="6"/>
        <v>1937.92</v>
      </c>
      <c r="M38" s="199">
        <f t="shared" si="7"/>
        <v>1</v>
      </c>
      <c r="N38" s="152"/>
    </row>
    <row r="39" spans="1:14" s="131" customFormat="1" ht="15">
      <c r="A39" s="139" t="str">
        <f>Orcamento!A38</f>
        <v>4.4.5</v>
      </c>
      <c r="B39" s="140" t="str">
        <f>Orcamento!D38</f>
        <v>Projeto de Instalações de Iluminação e Tomadas</v>
      </c>
      <c r="C39" s="141">
        <f>Orcamento!J38</f>
        <v>7753.2</v>
      </c>
      <c r="D39" s="201"/>
      <c r="E39" s="144"/>
      <c r="F39" s="201"/>
      <c r="G39" s="144"/>
      <c r="H39" s="201">
        <f t="shared" si="8"/>
        <v>7753.2</v>
      </c>
      <c r="I39" s="197">
        <v>1</v>
      </c>
      <c r="J39" s="142"/>
      <c r="K39" s="197"/>
      <c r="L39" s="170">
        <f t="shared" si="6"/>
        <v>7753.2</v>
      </c>
      <c r="M39" s="199">
        <f t="shared" si="7"/>
        <v>1</v>
      </c>
      <c r="N39" s="152"/>
    </row>
    <row r="40" spans="1:14" s="131" customFormat="1" ht="15">
      <c r="A40" s="139" t="str">
        <f>Orcamento!A39</f>
        <v>4.4.2</v>
      </c>
      <c r="B40" s="140" t="str">
        <f>Orcamento!D39</f>
        <v>Projeto Luminotécnico</v>
      </c>
      <c r="C40" s="141">
        <f>Orcamento!J39</f>
        <v>3078.47</v>
      </c>
      <c r="D40" s="201"/>
      <c r="E40" s="144"/>
      <c r="F40" s="201"/>
      <c r="G40" s="144"/>
      <c r="H40" s="201">
        <f t="shared" si="8"/>
        <v>3078.47</v>
      </c>
      <c r="I40" s="197">
        <v>1</v>
      </c>
      <c r="J40" s="142"/>
      <c r="K40" s="197"/>
      <c r="L40" s="170">
        <f t="shared" si="6"/>
        <v>3078.47</v>
      </c>
      <c r="M40" s="199">
        <f t="shared" si="7"/>
        <v>1</v>
      </c>
      <c r="N40" s="152"/>
    </row>
    <row r="41" spans="1:14" s="131" customFormat="1" ht="15">
      <c r="A41" s="139" t="str">
        <f>Orcamento!A40</f>
        <v>4.4.6</v>
      </c>
      <c r="B41" s="140" t="str">
        <f>Orcamento!D40</f>
        <v>Projeto de Rede Lógica (Cabeamento Estruturado – Voz e Dados)</v>
      </c>
      <c r="C41" s="141">
        <f>Orcamento!J40</f>
        <v>3534.53</v>
      </c>
      <c r="D41" s="201"/>
      <c r="E41" s="144"/>
      <c r="F41" s="201"/>
      <c r="G41" s="144"/>
      <c r="H41" s="201">
        <f t="shared" si="8"/>
        <v>3534.53</v>
      </c>
      <c r="I41" s="197">
        <v>1</v>
      </c>
      <c r="J41" s="142"/>
      <c r="K41" s="197"/>
      <c r="L41" s="170">
        <f t="shared" si="6"/>
        <v>3534.53</v>
      </c>
      <c r="M41" s="199">
        <f t="shared" si="7"/>
        <v>1</v>
      </c>
      <c r="N41" s="152"/>
    </row>
    <row r="42" spans="1:14" s="131" customFormat="1" ht="15">
      <c r="A42" s="139" t="str">
        <f>Orcamento!A41</f>
        <v>4.4.8</v>
      </c>
      <c r="B42" s="140" t="str">
        <f>Orcamento!D41</f>
        <v>Projeto de Automação, Alarme e CFTV</v>
      </c>
      <c r="C42" s="141">
        <f>Orcamento!J41</f>
        <v>3420.53</v>
      </c>
      <c r="D42" s="201"/>
      <c r="E42" s="144"/>
      <c r="F42" s="201"/>
      <c r="G42" s="144"/>
      <c r="H42" s="201">
        <f t="shared" si="8"/>
        <v>3420.53</v>
      </c>
      <c r="I42" s="197">
        <v>1</v>
      </c>
      <c r="J42" s="142"/>
      <c r="K42" s="197"/>
      <c r="L42" s="170">
        <f t="shared" si="6"/>
        <v>3420.53</v>
      </c>
      <c r="M42" s="199">
        <f t="shared" si="7"/>
        <v>1</v>
      </c>
      <c r="N42" s="152"/>
    </row>
    <row r="43" spans="1:14" s="131" customFormat="1" ht="15">
      <c r="A43" s="139" t="str">
        <f>Orcamento!A42</f>
        <v>4.4.3</v>
      </c>
      <c r="B43" s="140" t="str">
        <f>Orcamento!D42</f>
        <v>Projeto de Circuito Emergência</v>
      </c>
      <c r="C43" s="141">
        <f>Orcamento!J42</f>
        <v>2166.32</v>
      </c>
      <c r="D43" s="201"/>
      <c r="E43" s="144"/>
      <c r="F43" s="201"/>
      <c r="G43" s="144"/>
      <c r="H43" s="201">
        <f t="shared" si="8"/>
        <v>2166.32</v>
      </c>
      <c r="I43" s="197">
        <v>1</v>
      </c>
      <c r="J43" s="142"/>
      <c r="K43" s="197"/>
      <c r="L43" s="170">
        <f t="shared" si="6"/>
        <v>2166.32</v>
      </c>
      <c r="M43" s="199">
        <f t="shared" si="7"/>
        <v>1</v>
      </c>
      <c r="N43" s="152"/>
    </row>
    <row r="44" spans="1:14" s="131" customFormat="1" ht="15">
      <c r="A44" s="139" t="str">
        <f>Orcamento!A43</f>
        <v>4.4.7</v>
      </c>
      <c r="B44" s="140" t="str">
        <f>Orcamento!D43</f>
        <v>Projeto de Sistema de Proteção Contra Descargas Atmosféricas (SPDA)</v>
      </c>
      <c r="C44" s="141">
        <f>Orcamento!J43</f>
        <v>1596.24</v>
      </c>
      <c r="D44" s="201"/>
      <c r="E44" s="144"/>
      <c r="F44" s="201"/>
      <c r="G44" s="144"/>
      <c r="H44" s="201">
        <f t="shared" si="8"/>
        <v>1596.24</v>
      </c>
      <c r="I44" s="197">
        <v>1</v>
      </c>
      <c r="J44" s="142"/>
      <c r="K44" s="197"/>
      <c r="L44" s="170">
        <f t="shared" si="6"/>
        <v>1596.24</v>
      </c>
      <c r="M44" s="199">
        <f t="shared" si="7"/>
        <v>1</v>
      </c>
      <c r="N44" s="152"/>
    </row>
    <row r="45" spans="1:14" s="131" customFormat="1" ht="15">
      <c r="A45" s="139" t="str">
        <f>Orcamento!A44</f>
        <v>4.4.9</v>
      </c>
      <c r="B45" s="140" t="str">
        <f>Orcamento!D44</f>
        <v>Projeto de Energia Fotovoltaica</v>
      </c>
      <c r="C45" s="141">
        <f>Orcamento!J44</f>
        <v>1937.92</v>
      </c>
      <c r="D45" s="201"/>
      <c r="E45" s="144"/>
      <c r="F45" s="201"/>
      <c r="G45" s="144"/>
      <c r="H45" s="201">
        <f t="shared" si="8"/>
        <v>1937.92</v>
      </c>
      <c r="I45" s="197">
        <v>1</v>
      </c>
      <c r="J45" s="142"/>
      <c r="K45" s="197"/>
      <c r="L45" s="170">
        <f t="shared" si="6"/>
        <v>1937.92</v>
      </c>
      <c r="M45" s="199">
        <f t="shared" si="7"/>
        <v>1</v>
      </c>
      <c r="N45" s="152"/>
    </row>
    <row r="46" spans="1:14" s="131" customFormat="1" ht="15">
      <c r="A46" s="202" t="str">
        <f>Orcamento!A45</f>
        <v>4.5</v>
      </c>
      <c r="B46" s="203" t="str">
        <f>Orcamento!D45</f>
        <v>Projeto Hidrossanitário</v>
      </c>
      <c r="C46" s="204"/>
      <c r="D46" s="205"/>
      <c r="E46" s="206"/>
      <c r="F46" s="205"/>
      <c r="G46" s="206"/>
      <c r="H46" s="205"/>
      <c r="I46" s="206"/>
      <c r="J46" s="205"/>
      <c r="K46" s="206"/>
      <c r="L46" s="166"/>
      <c r="M46" s="199"/>
      <c r="N46" s="152"/>
    </row>
    <row r="47" spans="1:14" s="131" customFormat="1" ht="15">
      <c r="A47" s="139" t="str">
        <f>Orcamento!A46</f>
        <v>4.5.1</v>
      </c>
      <c r="B47" s="140" t="str">
        <f>Orcamento!D46</f>
        <v>Projeto de Redes de Água Fria e Esgoto Cloacal</v>
      </c>
      <c r="C47" s="141">
        <f>Orcamento!J46</f>
        <v>6091.34</v>
      </c>
      <c r="D47" s="142"/>
      <c r="E47" s="144"/>
      <c r="F47" s="142"/>
      <c r="G47" s="144"/>
      <c r="H47" s="142">
        <f>TRUNC($C47*I47,2)</f>
        <v>6091.34</v>
      </c>
      <c r="I47" s="197">
        <v>1</v>
      </c>
      <c r="J47" s="142"/>
      <c r="K47" s="197"/>
      <c r="L47" s="170">
        <f aca="true" t="shared" si="9" ref="L47:M49">D47+F47+H47+J47</f>
        <v>6091.34</v>
      </c>
      <c r="M47" s="199">
        <f t="shared" si="9"/>
        <v>1</v>
      </c>
      <c r="N47" s="152"/>
    </row>
    <row r="48" spans="1:14" s="131" customFormat="1" ht="15">
      <c r="A48" s="139" t="str">
        <f>Orcamento!A47</f>
        <v>4.5.2</v>
      </c>
      <c r="B48" s="140" t="str">
        <f>Orcamento!D47</f>
        <v>Projeto de Redes de Água Pluvial  e Drenagem</v>
      </c>
      <c r="C48" s="141">
        <f>Orcamento!J47</f>
        <v>2118.73</v>
      </c>
      <c r="D48" s="142"/>
      <c r="E48" s="144"/>
      <c r="F48" s="142"/>
      <c r="G48" s="144"/>
      <c r="H48" s="142">
        <f>TRUNC($C48*I48,2)</f>
        <v>2118.73</v>
      </c>
      <c r="I48" s="197">
        <v>1</v>
      </c>
      <c r="J48" s="142"/>
      <c r="K48" s="197"/>
      <c r="L48" s="170">
        <f t="shared" si="9"/>
        <v>2118.73</v>
      </c>
      <c r="M48" s="199">
        <f t="shared" si="9"/>
        <v>1</v>
      </c>
      <c r="N48" s="152"/>
    </row>
    <row r="49" spans="1:14" s="131" customFormat="1" ht="15">
      <c r="A49" s="139" t="str">
        <f>Orcamento!A48</f>
        <v>4.5.3</v>
      </c>
      <c r="B49" s="140" t="str">
        <f>Orcamento!D48</f>
        <v>Projeto de Sistema Hidraulico de Combate a Incendio</v>
      </c>
      <c r="C49" s="141">
        <f>Orcamento!J48</f>
        <v>3060.33</v>
      </c>
      <c r="D49" s="142"/>
      <c r="E49" s="144"/>
      <c r="F49" s="142"/>
      <c r="G49" s="144"/>
      <c r="H49" s="142">
        <f>TRUNC($C49*I49,2)</f>
        <v>3060.33</v>
      </c>
      <c r="I49" s="197">
        <v>1</v>
      </c>
      <c r="J49" s="142"/>
      <c r="K49" s="197"/>
      <c r="L49" s="170">
        <f t="shared" si="9"/>
        <v>3060.33</v>
      </c>
      <c r="M49" s="199">
        <f t="shared" si="9"/>
        <v>1</v>
      </c>
      <c r="N49" s="152"/>
    </row>
    <row r="50" spans="1:14" s="131" customFormat="1" ht="15">
      <c r="A50" s="202" t="str">
        <f>Orcamento!A49</f>
        <v>4.6</v>
      </c>
      <c r="B50" s="203" t="str">
        <f>Orcamento!D49</f>
        <v>Projeto Proteção e Combate à Incêndios - PPCI</v>
      </c>
      <c r="C50" s="204"/>
      <c r="D50" s="205"/>
      <c r="E50" s="206"/>
      <c r="F50" s="205"/>
      <c r="G50" s="206"/>
      <c r="H50" s="205"/>
      <c r="I50" s="206"/>
      <c r="J50" s="205"/>
      <c r="K50" s="206"/>
      <c r="L50" s="166"/>
      <c r="M50" s="199"/>
      <c r="N50" s="152"/>
    </row>
    <row r="51" spans="1:14" s="131" customFormat="1" ht="28.5">
      <c r="A51" s="139" t="str">
        <f>Orcamento!A50</f>
        <v>4.6.1</v>
      </c>
      <c r="B51" s="140" t="str">
        <f>Orcamento!D50</f>
        <v>Elaboração e Aprovação do Plano e do Projeto Executivo de Prevenção e Proteção Contra Incêndios</v>
      </c>
      <c r="C51" s="141">
        <f>Orcamento!J50</f>
        <v>8748.87</v>
      </c>
      <c r="D51" s="142"/>
      <c r="E51" s="144"/>
      <c r="F51" s="142"/>
      <c r="G51" s="144"/>
      <c r="H51" s="142"/>
      <c r="I51" s="197"/>
      <c r="J51" s="142">
        <f>TRUNC($C51*K51,2)</f>
        <v>8748.87</v>
      </c>
      <c r="K51" s="197">
        <v>1</v>
      </c>
      <c r="L51" s="170">
        <f>D51+F51+H51+J51</f>
        <v>8748.87</v>
      </c>
      <c r="M51" s="199">
        <f>E51+G51+I51+K51</f>
        <v>1</v>
      </c>
      <c r="N51" s="152"/>
    </row>
    <row r="52" spans="1:14" s="131" customFormat="1" ht="15">
      <c r="A52" s="202" t="str">
        <f>Orcamento!A51</f>
        <v>4.7</v>
      </c>
      <c r="B52" s="203" t="str">
        <f>Orcamento!D51</f>
        <v>Projeto Mecânico</v>
      </c>
      <c r="C52" s="204"/>
      <c r="D52" s="205"/>
      <c r="E52" s="206"/>
      <c r="F52" s="205"/>
      <c r="G52" s="206"/>
      <c r="H52" s="205"/>
      <c r="I52" s="206"/>
      <c r="J52" s="205"/>
      <c r="K52" s="206"/>
      <c r="L52" s="166"/>
      <c r="M52" s="199"/>
      <c r="N52" s="152"/>
    </row>
    <row r="53" spans="1:14" s="131" customFormat="1" ht="15">
      <c r="A53" s="139" t="str">
        <f>Orcamento!A52</f>
        <v>4.7.1</v>
      </c>
      <c r="B53" s="140" t="str">
        <f>Orcamento!D52</f>
        <v>Projeto de Instalações Especiais de Combate à Incêndios</v>
      </c>
      <c r="C53" s="141">
        <f>Orcamento!J52</f>
        <v>2128.93</v>
      </c>
      <c r="D53" s="142"/>
      <c r="E53" s="144"/>
      <c r="F53" s="142"/>
      <c r="G53" s="144"/>
      <c r="H53" s="142">
        <f>TRUNC($C53*I53,2)</f>
        <v>2128.93</v>
      </c>
      <c r="I53" s="197">
        <v>1</v>
      </c>
      <c r="J53" s="142"/>
      <c r="K53" s="197"/>
      <c r="L53" s="170">
        <f aca="true" t="shared" si="10" ref="L53:M55">D53+F53+H53+J53</f>
        <v>2128.93</v>
      </c>
      <c r="M53" s="199">
        <f t="shared" si="10"/>
        <v>1</v>
      </c>
      <c r="N53" s="152"/>
    </row>
    <row r="54" spans="1:14" s="131" customFormat="1" ht="15">
      <c r="A54" s="139" t="str">
        <f>Orcamento!A53</f>
        <v>4.7.2</v>
      </c>
      <c r="B54" s="140" t="str">
        <f>Orcamento!D53</f>
        <v>Projeto de Climatização e Ventilação Mecânica</v>
      </c>
      <c r="C54" s="141">
        <f>Orcamento!J53</f>
        <v>4105.03</v>
      </c>
      <c r="D54" s="142"/>
      <c r="E54" s="144"/>
      <c r="F54" s="142"/>
      <c r="G54" s="144"/>
      <c r="H54" s="142">
        <f>TRUNC($C54*I54,2)</f>
        <v>4105.03</v>
      </c>
      <c r="I54" s="197">
        <v>1</v>
      </c>
      <c r="J54" s="142"/>
      <c r="K54" s="197"/>
      <c r="L54" s="170">
        <f t="shared" si="10"/>
        <v>4105.03</v>
      </c>
      <c r="M54" s="199">
        <f t="shared" si="10"/>
        <v>1</v>
      </c>
      <c r="N54" s="152"/>
    </row>
    <row r="55" spans="1:14" s="131" customFormat="1" ht="15">
      <c r="A55" s="139" t="str">
        <f>Orcamento!A54</f>
        <v>4.7.3</v>
      </c>
      <c r="B55" s="140" t="str">
        <f>Orcamento!D54</f>
        <v>Projeto de Elevadores</v>
      </c>
      <c r="C55" s="141">
        <f>Orcamento!J54</f>
        <v>2118.73</v>
      </c>
      <c r="D55" s="142"/>
      <c r="E55" s="144"/>
      <c r="F55" s="142"/>
      <c r="G55" s="144"/>
      <c r="H55" s="142">
        <f>TRUNC($C55*I55,2)</f>
        <v>2118.73</v>
      </c>
      <c r="I55" s="197">
        <v>1</v>
      </c>
      <c r="J55" s="142"/>
      <c r="K55" s="197"/>
      <c r="L55" s="170">
        <f t="shared" si="10"/>
        <v>2118.73</v>
      </c>
      <c r="M55" s="199">
        <f t="shared" si="10"/>
        <v>1</v>
      </c>
      <c r="N55" s="152"/>
    </row>
    <row r="56" spans="1:14" s="131" customFormat="1" ht="15">
      <c r="A56" s="202" t="str">
        <f>Orcamento!A55</f>
        <v>4.8</v>
      </c>
      <c r="B56" s="203" t="str">
        <f>Orcamento!D55</f>
        <v>Projeto Paisagismo e Pavimentação</v>
      </c>
      <c r="C56" s="204"/>
      <c r="D56" s="205"/>
      <c r="E56" s="206"/>
      <c r="F56" s="205"/>
      <c r="G56" s="206"/>
      <c r="H56" s="205"/>
      <c r="I56" s="206"/>
      <c r="J56" s="205"/>
      <c r="K56" s="206"/>
      <c r="L56" s="166"/>
      <c r="M56" s="199"/>
      <c r="N56" s="152"/>
    </row>
    <row r="57" spans="1:14" s="131" customFormat="1" ht="15">
      <c r="A57" s="139" t="str">
        <f>Orcamento!A56</f>
        <v>4.8.1</v>
      </c>
      <c r="B57" s="140" t="str">
        <f>Orcamento!D56</f>
        <v>Projeto de Paisagismo</v>
      </c>
      <c r="C57" s="141">
        <f>Orcamento!J56</f>
        <v>1953.51</v>
      </c>
      <c r="D57" s="142"/>
      <c r="E57" s="144"/>
      <c r="F57" s="142"/>
      <c r="G57" s="144"/>
      <c r="H57" s="142">
        <f>TRUNC($C57*I57,2)</f>
        <v>1953.51</v>
      </c>
      <c r="I57" s="197">
        <v>1</v>
      </c>
      <c r="J57" s="142"/>
      <c r="K57" s="197"/>
      <c r="L57" s="170">
        <f>D57+F57+H57+J57</f>
        <v>1953.51</v>
      </c>
      <c r="M57" s="199">
        <f>E57+G57+I57+K57</f>
        <v>1</v>
      </c>
      <c r="N57" s="152"/>
    </row>
    <row r="58" spans="1:14" s="131" customFormat="1" ht="15">
      <c r="A58" s="139" t="str">
        <f>Orcamento!A57</f>
        <v>4.8.2</v>
      </c>
      <c r="B58" s="140" t="str">
        <f>Orcamento!D57</f>
        <v>Projeto de Pavimentação</v>
      </c>
      <c r="C58" s="141">
        <f>Orcamento!J57</f>
        <v>2118.73</v>
      </c>
      <c r="D58" s="142"/>
      <c r="E58" s="144"/>
      <c r="F58" s="142"/>
      <c r="G58" s="144"/>
      <c r="H58" s="142">
        <f>TRUNC($C58*I58,2)</f>
        <v>2118.73</v>
      </c>
      <c r="I58" s="197">
        <v>1</v>
      </c>
      <c r="J58" s="142"/>
      <c r="K58" s="197"/>
      <c r="L58" s="170">
        <f>D58+F58+H58+J58</f>
        <v>2118.73</v>
      </c>
      <c r="M58" s="199">
        <f>E58+G58+I58+K58</f>
        <v>1</v>
      </c>
      <c r="N58" s="152"/>
    </row>
    <row r="59" spans="1:14" s="131" customFormat="1" ht="15">
      <c r="A59" s="202">
        <f>Orcamento!A58</f>
        <v>5</v>
      </c>
      <c r="B59" s="203" t="str">
        <f>Orcamento!D58</f>
        <v>Orçamento, Cronograma e Planos</v>
      </c>
      <c r="C59" s="204"/>
      <c r="D59" s="205"/>
      <c r="E59" s="206"/>
      <c r="F59" s="205"/>
      <c r="G59" s="206"/>
      <c r="H59" s="205"/>
      <c r="I59" s="206"/>
      <c r="J59" s="205"/>
      <c r="K59" s="206"/>
      <c r="L59" s="166"/>
      <c r="M59" s="199"/>
      <c r="N59" s="152"/>
    </row>
    <row r="60" spans="1:14" s="131" customFormat="1" ht="15">
      <c r="A60" s="139" t="str">
        <f>Orcamento!A59</f>
        <v>5.1</v>
      </c>
      <c r="B60" s="140" t="str">
        <f>Orcamento!D59</f>
        <v>Planilha Orçamentária, Cronograma Físico-Financeiro e Planos de Obra</v>
      </c>
      <c r="C60" s="141">
        <f>Orcamento!J59</f>
        <v>8287.72</v>
      </c>
      <c r="D60" s="142"/>
      <c r="E60" s="144"/>
      <c r="F60" s="142"/>
      <c r="G60" s="144"/>
      <c r="H60" s="142"/>
      <c r="I60" s="144"/>
      <c r="J60" s="142">
        <f>TRUNC($C60*K60,2)</f>
        <v>8287.72</v>
      </c>
      <c r="K60" s="197">
        <v>1</v>
      </c>
      <c r="L60" s="170">
        <f>D60+F60+H60+J60</f>
        <v>8287.72</v>
      </c>
      <c r="M60" s="199">
        <f>E60+G60+I60+K60</f>
        <v>1</v>
      </c>
      <c r="N60" s="152"/>
    </row>
    <row r="61" spans="1:13" s="131" customFormat="1" ht="15">
      <c r="A61" s="143"/>
      <c r="B61" s="227" t="s">
        <v>104</v>
      </c>
      <c r="C61" s="228"/>
      <c r="D61" s="215">
        <f>SUM(D11:D60)</f>
        <v>28931.490000000005</v>
      </c>
      <c r="E61" s="215"/>
      <c r="F61" s="215">
        <f>SUM(F11:F60)</f>
        <v>10717.550000000001</v>
      </c>
      <c r="G61" s="215"/>
      <c r="H61" s="215">
        <f>SUM(H11:H60)</f>
        <v>111377.44999999997</v>
      </c>
      <c r="I61" s="215"/>
      <c r="J61" s="215">
        <f>SUM(J11:J60)</f>
        <v>17801.96</v>
      </c>
      <c r="K61" s="215"/>
      <c r="L61" s="215">
        <f>SUM(L11:L60)</f>
        <v>168828.45</v>
      </c>
      <c r="M61" s="215"/>
    </row>
    <row r="62" spans="1:11" s="131" customFormat="1" ht="15">
      <c r="A62" s="143"/>
      <c r="B62" s="229"/>
      <c r="C62" s="230"/>
      <c r="D62" s="213">
        <f>SUM(D15:D60)/Orcamento!$J$60</f>
        <v>0.10969667730764572</v>
      </c>
      <c r="E62" s="214"/>
      <c r="F62" s="213">
        <f>SUM(F15:F60)/Orcamento!$J$60</f>
        <v>0.060752675274812984</v>
      </c>
      <c r="G62" s="214"/>
      <c r="H62" s="213">
        <f>SUM(H15:H60)/Orcamento!$J$60</f>
        <v>0.6313453093954245</v>
      </c>
      <c r="I62" s="214"/>
      <c r="J62" s="213">
        <f>SUM(J15:J60)/Orcamento!$J$60</f>
        <v>0.10091065812663683</v>
      </c>
      <c r="K62" s="214"/>
    </row>
    <row r="63" spans="1:11" s="131" customFormat="1" ht="15">
      <c r="A63" s="143"/>
      <c r="B63" s="227" t="s">
        <v>105</v>
      </c>
      <c r="C63" s="228"/>
      <c r="D63" s="215">
        <f>D61</f>
        <v>28931.490000000005</v>
      </c>
      <c r="E63" s="215"/>
      <c r="F63" s="224">
        <f>D63+F61</f>
        <v>39649.04000000001</v>
      </c>
      <c r="G63" s="225"/>
      <c r="H63" s="224">
        <f>F63+H61</f>
        <v>151026.49</v>
      </c>
      <c r="I63" s="225"/>
      <c r="J63" s="224">
        <f>H63+J61</f>
        <v>168828.44999999998</v>
      </c>
      <c r="K63" s="225"/>
    </row>
    <row r="64" spans="1:11" s="131" customFormat="1" ht="15">
      <c r="A64" s="143"/>
      <c r="B64" s="229"/>
      <c r="C64" s="230"/>
      <c r="D64" s="213">
        <f>D63/Orcamento!$J$60</f>
        <v>0.1713662004241584</v>
      </c>
      <c r="E64" s="214"/>
      <c r="F64" s="213">
        <f>F63/Orcamento!$J$60</f>
        <v>0.23484809580375823</v>
      </c>
      <c r="G64" s="214"/>
      <c r="H64" s="213">
        <f>H63/Orcamento!$J$60</f>
        <v>0.8945559234832754</v>
      </c>
      <c r="I64" s="214"/>
      <c r="J64" s="213">
        <f>J63/Orcamento!$J$60</f>
        <v>0.9999999999999998</v>
      </c>
      <c r="K64" s="214"/>
    </row>
    <row r="65" spans="1:13" ht="15">
      <c r="A65" s="8"/>
      <c r="B65" s="8"/>
      <c r="C65" s="8"/>
      <c r="D65" s="8"/>
      <c r="E65" s="8"/>
      <c r="L65" s="8"/>
      <c r="M65" s="8"/>
    </row>
    <row r="66" spans="1:13" ht="15">
      <c r="A66" s="8"/>
      <c r="B66" s="8"/>
      <c r="C66" s="8"/>
      <c r="D66" s="8"/>
      <c r="E66" s="8"/>
      <c r="L66" s="8"/>
      <c r="M66" s="8"/>
    </row>
    <row r="67" spans="1:13" ht="15">
      <c r="A67" s="8"/>
      <c r="B67" s="8"/>
      <c r="C67" s="8"/>
      <c r="D67" s="8"/>
      <c r="E67" s="8"/>
      <c r="L67" s="8"/>
      <c r="M67" s="8"/>
    </row>
    <row r="68" spans="1:13" ht="15">
      <c r="A68" s="8"/>
      <c r="B68" s="8"/>
      <c r="C68" s="8"/>
      <c r="D68" s="8"/>
      <c r="E68" s="8"/>
      <c r="L68" s="8"/>
      <c r="M68" s="8"/>
    </row>
    <row r="69" spans="1:13" ht="15">
      <c r="A69" s="8"/>
      <c r="B69" s="8"/>
      <c r="C69" s="8"/>
      <c r="D69" s="8"/>
      <c r="E69" s="8"/>
      <c r="L69" s="8"/>
      <c r="M69" s="8"/>
    </row>
    <row r="70" spans="1:13" ht="15">
      <c r="A70" s="8"/>
      <c r="B70" s="8"/>
      <c r="C70" s="8"/>
      <c r="D70" s="8"/>
      <c r="E70" s="8"/>
      <c r="L70" s="8"/>
      <c r="M70" s="8"/>
    </row>
    <row r="71" spans="1:13" ht="15">
      <c r="A71" s="8"/>
      <c r="B71" s="8"/>
      <c r="C71" s="8"/>
      <c r="D71" s="8"/>
      <c r="E71" s="8"/>
      <c r="L71" s="8"/>
      <c r="M71" s="8"/>
    </row>
    <row r="72" spans="1:13" ht="15">
      <c r="A72" s="8"/>
      <c r="B72" s="8"/>
      <c r="C72" s="8"/>
      <c r="D72" s="8"/>
      <c r="E72" s="8"/>
      <c r="L72" s="8"/>
      <c r="M72" s="8"/>
    </row>
    <row r="73" spans="1:13" ht="15">
      <c r="A73" s="8"/>
      <c r="B73" s="8"/>
      <c r="C73" s="8"/>
      <c r="D73" s="8"/>
      <c r="E73" s="8"/>
      <c r="L73" s="8"/>
      <c r="M73" s="8"/>
    </row>
    <row r="74" spans="1:13" ht="15">
      <c r="A74" s="8"/>
      <c r="B74" s="8"/>
      <c r="C74" s="8"/>
      <c r="D74" s="8"/>
      <c r="E74" s="8"/>
      <c r="L74" s="8"/>
      <c r="M74" s="8"/>
    </row>
  </sheetData>
  <sheetProtection/>
  <mergeCells count="27">
    <mergeCell ref="J64:K64"/>
    <mergeCell ref="H62:I62"/>
    <mergeCell ref="H8:I8"/>
    <mergeCell ref="B61:C62"/>
    <mergeCell ref="B63:C64"/>
    <mergeCell ref="D62:E62"/>
    <mergeCell ref="D64:E64"/>
    <mergeCell ref="D63:E63"/>
    <mergeCell ref="F64:G64"/>
    <mergeCell ref="F8:G8"/>
    <mergeCell ref="J61:K61"/>
    <mergeCell ref="F63:G63"/>
    <mergeCell ref="H63:I63"/>
    <mergeCell ref="J62:K62"/>
    <mergeCell ref="D8:E8"/>
    <mergeCell ref="F61:G61"/>
    <mergeCell ref="J8:K8"/>
    <mergeCell ref="H64:I64"/>
    <mergeCell ref="L61:M61"/>
    <mergeCell ref="A8:A9"/>
    <mergeCell ref="B8:B9"/>
    <mergeCell ref="C8:C9"/>
    <mergeCell ref="F62:G62"/>
    <mergeCell ref="H61:I61"/>
    <mergeCell ref="L8:M8"/>
    <mergeCell ref="D61:E61"/>
    <mergeCell ref="J63:K6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0" zoomScaleNormal="70" zoomScalePageLayoutView="0" workbookViewId="0" topLeftCell="A1">
      <selection activeCell="F19" sqref="F19"/>
    </sheetView>
  </sheetViews>
  <sheetFormatPr defaultColWidth="9.140625" defaultRowHeight="15"/>
  <cols>
    <col min="1" max="1" width="77.7109375" style="9" customWidth="1"/>
    <col min="2" max="4" width="20.7109375" style="9" bestFit="1" customWidth="1"/>
    <col min="5" max="16384" width="9.140625" style="9" customWidth="1"/>
  </cols>
  <sheetData>
    <row r="1" spans="1:4" s="26" customFormat="1" ht="21" thickBot="1">
      <c r="A1" s="25" t="s">
        <v>65</v>
      </c>
      <c r="B1" s="25"/>
      <c r="C1" s="25"/>
      <c r="D1" s="25"/>
    </row>
    <row r="2" spans="1:4" s="26" customFormat="1" ht="18.75">
      <c r="A2" s="27" t="s">
        <v>148</v>
      </c>
      <c r="B2" s="28"/>
      <c r="C2" s="28"/>
      <c r="D2" s="29"/>
    </row>
    <row r="3" spans="1:4" s="26" customFormat="1" ht="30" customHeight="1">
      <c r="A3" s="231" t="s">
        <v>231</v>
      </c>
      <c r="B3" s="231"/>
      <c r="C3" s="231"/>
      <c r="D3" s="232"/>
    </row>
    <row r="4" spans="1:4" s="26" customFormat="1" ht="15">
      <c r="A4" s="32" t="s">
        <v>248</v>
      </c>
      <c r="B4" s="33"/>
      <c r="C4" s="33"/>
      <c r="D4" s="160"/>
    </row>
    <row r="5" spans="1:4" s="26" customFormat="1" ht="14.25">
      <c r="A5" s="154"/>
      <c r="B5" s="31"/>
      <c r="C5" s="31"/>
      <c r="D5" s="34"/>
    </row>
    <row r="6" spans="1:4" s="26" customFormat="1" ht="18">
      <c r="A6" s="155" t="s">
        <v>155</v>
      </c>
      <c r="B6" s="35"/>
      <c r="C6" s="35"/>
      <c r="D6" s="37"/>
    </row>
    <row r="7" spans="1:4" s="26" customFormat="1" ht="18.75" thickBot="1">
      <c r="A7" s="38"/>
      <c r="B7" s="39"/>
      <c r="C7" s="39"/>
      <c r="D7" s="41"/>
    </row>
    <row r="8" spans="1:4" s="70" customFormat="1" ht="19.5" customHeight="1">
      <c r="A8" s="120" t="s">
        <v>163</v>
      </c>
      <c r="B8" s="125" t="s">
        <v>6</v>
      </c>
      <c r="C8" s="125" t="s">
        <v>156</v>
      </c>
      <c r="D8" s="125" t="s">
        <v>157</v>
      </c>
    </row>
    <row r="9" spans="1:4" ht="15">
      <c r="A9" s="163" t="s">
        <v>205</v>
      </c>
      <c r="B9" s="172">
        <v>26982.84</v>
      </c>
      <c r="C9" s="156">
        <f>B9/$B$47</f>
        <v>0.15982401070435692</v>
      </c>
      <c r="D9" s="157">
        <f>C9</f>
        <v>0.15982401070435692</v>
      </c>
    </row>
    <row r="10" spans="1:4" ht="15">
      <c r="A10" s="93" t="s">
        <v>76</v>
      </c>
      <c r="B10" s="172">
        <v>10196.39</v>
      </c>
      <c r="C10" s="156">
        <f>B10/$B$47</f>
        <v>0.06039497489907652</v>
      </c>
      <c r="D10" s="171">
        <f aca="true" t="shared" si="0" ref="D10:D15">C10+D9</f>
        <v>0.22021898560343345</v>
      </c>
    </row>
    <row r="11" spans="1:4" ht="28.5">
      <c r="A11" s="93" t="s">
        <v>52</v>
      </c>
      <c r="B11" s="172">
        <v>8748.87</v>
      </c>
      <c r="C11" s="156">
        <f aca="true" t="shared" si="1" ref="C11:C46">B11/$B$47</f>
        <v>0.05182106451845052</v>
      </c>
      <c r="D11" s="171">
        <f t="shared" si="0"/>
        <v>0.272040050121884</v>
      </c>
    </row>
    <row r="12" spans="1:4" ht="15">
      <c r="A12" s="93" t="s">
        <v>239</v>
      </c>
      <c r="B12" s="172">
        <v>8287.72</v>
      </c>
      <c r="C12" s="156">
        <f t="shared" si="1"/>
        <v>0.04908959360818627</v>
      </c>
      <c r="D12" s="171">
        <f t="shared" si="0"/>
        <v>0.32112964373007025</v>
      </c>
    </row>
    <row r="13" spans="1:4" ht="15">
      <c r="A13" s="93" t="s">
        <v>160</v>
      </c>
      <c r="B13" s="172">
        <v>7945.25</v>
      </c>
      <c r="C13" s="156">
        <f t="shared" si="1"/>
        <v>0.047061084787546156</v>
      </c>
      <c r="D13" s="171">
        <f t="shared" si="0"/>
        <v>0.3681907285176164</v>
      </c>
    </row>
    <row r="14" spans="1:4" ht="15">
      <c r="A14" s="93" t="s">
        <v>188</v>
      </c>
      <c r="B14" s="172">
        <v>7818.19</v>
      </c>
      <c r="C14" s="156">
        <f t="shared" si="1"/>
        <v>0.046308486513973186</v>
      </c>
      <c r="D14" s="171">
        <f t="shared" si="0"/>
        <v>0.4144992150315896</v>
      </c>
    </row>
    <row r="15" spans="1:4" ht="15">
      <c r="A15" s="93" t="s">
        <v>119</v>
      </c>
      <c r="B15" s="172">
        <v>7753.2</v>
      </c>
      <c r="C15" s="156">
        <f t="shared" si="1"/>
        <v>0.04592353954561566</v>
      </c>
      <c r="D15" s="171">
        <f t="shared" si="0"/>
        <v>0.4604227545772053</v>
      </c>
    </row>
    <row r="16" spans="1:4" ht="15">
      <c r="A16" s="93" t="s">
        <v>236</v>
      </c>
      <c r="B16" s="172">
        <v>7258.37</v>
      </c>
      <c r="C16" s="156">
        <f t="shared" si="1"/>
        <v>0.042992576191986584</v>
      </c>
      <c r="D16" s="171">
        <f aca="true" t="shared" si="2" ref="D16:D46">C16+D15</f>
        <v>0.5034153307691919</v>
      </c>
    </row>
    <row r="17" spans="1:4" ht="15">
      <c r="A17" s="93" t="s">
        <v>113</v>
      </c>
      <c r="B17" s="172">
        <v>6091.34</v>
      </c>
      <c r="C17" s="156">
        <f t="shared" si="1"/>
        <v>0.03608005641229305</v>
      </c>
      <c r="D17" s="171">
        <f t="shared" si="2"/>
        <v>0.5394953871814849</v>
      </c>
    </row>
    <row r="18" spans="1:4" ht="15">
      <c r="A18" s="93" t="s">
        <v>254</v>
      </c>
      <c r="B18" s="172">
        <v>5070.77</v>
      </c>
      <c r="C18" s="156">
        <f t="shared" si="1"/>
        <v>0.03003504444896579</v>
      </c>
      <c r="D18" s="171">
        <f t="shared" si="2"/>
        <v>0.5695304316304507</v>
      </c>
    </row>
    <row r="19" spans="1:4" ht="15">
      <c r="A19" s="93" t="s">
        <v>122</v>
      </c>
      <c r="B19" s="172">
        <v>4903.06</v>
      </c>
      <c r="C19" s="156">
        <f t="shared" si="1"/>
        <v>0.029041669221034714</v>
      </c>
      <c r="D19" s="171">
        <f t="shared" si="2"/>
        <v>0.5985721008514854</v>
      </c>
    </row>
    <row r="20" spans="1:4" ht="15">
      <c r="A20" s="93" t="s">
        <v>161</v>
      </c>
      <c r="B20" s="172">
        <v>4439.83</v>
      </c>
      <c r="C20" s="156">
        <f t="shared" si="1"/>
        <v>0.0262978781123679</v>
      </c>
      <c r="D20" s="171">
        <f t="shared" si="2"/>
        <v>0.6248699789638533</v>
      </c>
    </row>
    <row r="21" spans="1:4" ht="15">
      <c r="A21" s="93" t="s">
        <v>207</v>
      </c>
      <c r="B21" s="172">
        <v>4395.38</v>
      </c>
      <c r="C21" s="156">
        <f t="shared" si="1"/>
        <v>0.02603459310323585</v>
      </c>
      <c r="D21" s="171">
        <f t="shared" si="2"/>
        <v>0.6509045720670892</v>
      </c>
    </row>
    <row r="22" spans="1:4" ht="15">
      <c r="A22" s="93" t="s">
        <v>102</v>
      </c>
      <c r="B22" s="172">
        <v>4105.03</v>
      </c>
      <c r="C22" s="156">
        <f t="shared" si="1"/>
        <v>0.024314800023337288</v>
      </c>
      <c r="D22" s="171">
        <f t="shared" si="2"/>
        <v>0.6752193720904265</v>
      </c>
    </row>
    <row r="23" spans="1:4" ht="15">
      <c r="A23" s="93" t="s">
        <v>120</v>
      </c>
      <c r="B23" s="172">
        <v>3534.53</v>
      </c>
      <c r="C23" s="156">
        <f t="shared" si="1"/>
        <v>0.020935630221091284</v>
      </c>
      <c r="D23" s="171">
        <f t="shared" si="2"/>
        <v>0.6961550023115177</v>
      </c>
    </row>
    <row r="24" spans="1:4" ht="15">
      <c r="A24" s="93" t="s">
        <v>123</v>
      </c>
      <c r="B24" s="172">
        <v>3420.53</v>
      </c>
      <c r="C24" s="156">
        <f t="shared" si="1"/>
        <v>0.020260388577872976</v>
      </c>
      <c r="D24" s="171">
        <f t="shared" si="2"/>
        <v>0.7164153908893907</v>
      </c>
    </row>
    <row r="25" spans="1:4" ht="15">
      <c r="A25" s="93" t="s">
        <v>117</v>
      </c>
      <c r="B25" s="172">
        <v>3078.47</v>
      </c>
      <c r="C25" s="156">
        <f t="shared" si="1"/>
        <v>0.018234308257879514</v>
      </c>
      <c r="D25" s="171">
        <f t="shared" si="2"/>
        <v>0.7346496991472702</v>
      </c>
    </row>
    <row r="26" spans="1:4" ht="15">
      <c r="A26" s="93" t="s">
        <v>114</v>
      </c>
      <c r="B26" s="172">
        <v>3060.33</v>
      </c>
      <c r="C26" s="156">
        <f t="shared" si="1"/>
        <v>0.018126861912195476</v>
      </c>
      <c r="D26" s="171">
        <f t="shared" si="2"/>
        <v>0.7527765610594657</v>
      </c>
    </row>
    <row r="27" spans="1:4" ht="15">
      <c r="A27" s="93" t="s">
        <v>112</v>
      </c>
      <c r="B27" s="172">
        <v>3045.67</v>
      </c>
      <c r="C27" s="156">
        <f t="shared" si="1"/>
        <v>0.018040028206146527</v>
      </c>
      <c r="D27" s="171">
        <f t="shared" si="2"/>
        <v>0.7708165892656121</v>
      </c>
    </row>
    <row r="28" spans="1:4" ht="15">
      <c r="A28" s="93" t="s">
        <v>164</v>
      </c>
      <c r="B28" s="172">
        <v>2753.38</v>
      </c>
      <c r="C28" s="156">
        <f t="shared" si="1"/>
        <v>0.01630874417196864</v>
      </c>
      <c r="D28" s="171">
        <f t="shared" si="2"/>
        <v>0.7871253334375807</v>
      </c>
    </row>
    <row r="29" spans="1:4" ht="15">
      <c r="A29" s="93" t="s">
        <v>134</v>
      </c>
      <c r="B29" s="172">
        <v>2650.63</v>
      </c>
      <c r="C29" s="156">
        <f t="shared" si="1"/>
        <v>0.015700138217225823</v>
      </c>
      <c r="D29" s="171">
        <f t="shared" si="2"/>
        <v>0.8028254716548066</v>
      </c>
    </row>
    <row r="30" spans="1:4" ht="15">
      <c r="A30" s="93" t="s">
        <v>255</v>
      </c>
      <c r="B30" s="172">
        <v>2535.38</v>
      </c>
      <c r="C30" s="156">
        <f t="shared" si="1"/>
        <v>0.01501749260862135</v>
      </c>
      <c r="D30" s="171">
        <f t="shared" si="2"/>
        <v>0.817842964263428</v>
      </c>
    </row>
    <row r="31" spans="1:4" ht="15">
      <c r="A31" s="93" t="s">
        <v>126</v>
      </c>
      <c r="B31" s="172">
        <v>2420.14</v>
      </c>
      <c r="C31" s="156">
        <f t="shared" si="1"/>
        <v>0.014334906231739964</v>
      </c>
      <c r="D31" s="171">
        <f t="shared" si="2"/>
        <v>0.8321778704951679</v>
      </c>
    </row>
    <row r="32" spans="1:4" ht="15">
      <c r="A32" s="93" t="s">
        <v>110</v>
      </c>
      <c r="B32" s="172">
        <v>2373.59</v>
      </c>
      <c r="C32" s="156">
        <f t="shared" si="1"/>
        <v>0.014059182560759156</v>
      </c>
      <c r="D32" s="171">
        <f t="shared" si="2"/>
        <v>0.846237053055927</v>
      </c>
    </row>
    <row r="33" spans="1:4" ht="15">
      <c r="A33" s="93" t="s">
        <v>135</v>
      </c>
      <c r="B33" s="172">
        <v>2298.92</v>
      </c>
      <c r="C33" s="156">
        <f t="shared" si="1"/>
        <v>0.013616899284451164</v>
      </c>
      <c r="D33" s="171">
        <f t="shared" si="2"/>
        <v>0.8598539523403782</v>
      </c>
    </row>
    <row r="34" spans="1:4" ht="15">
      <c r="A34" s="93" t="s">
        <v>250</v>
      </c>
      <c r="B34" s="172">
        <v>2166.32</v>
      </c>
      <c r="C34" s="156">
        <f t="shared" si="1"/>
        <v>0.012831486636286712</v>
      </c>
      <c r="D34" s="171">
        <f t="shared" si="2"/>
        <v>0.872685438976665</v>
      </c>
    </row>
    <row r="35" spans="1:4" ht="15">
      <c r="A35" s="93" t="s">
        <v>180</v>
      </c>
      <c r="B35" s="172">
        <v>2128.93</v>
      </c>
      <c r="C35" s="156">
        <f t="shared" si="1"/>
        <v>0.012610019223655723</v>
      </c>
      <c r="D35" s="171">
        <f t="shared" si="2"/>
        <v>0.8852954582003206</v>
      </c>
    </row>
    <row r="36" spans="1:4" ht="15">
      <c r="A36" s="93" t="s">
        <v>116</v>
      </c>
      <c r="B36" s="172">
        <v>2118.73</v>
      </c>
      <c r="C36" s="156">
        <f t="shared" si="1"/>
        <v>0.012549602866104612</v>
      </c>
      <c r="D36" s="171">
        <f t="shared" si="2"/>
        <v>0.8978450610664253</v>
      </c>
    </row>
    <row r="37" spans="1:4" ht="15">
      <c r="A37" s="93" t="s">
        <v>179</v>
      </c>
      <c r="B37" s="172">
        <v>2118.73</v>
      </c>
      <c r="C37" s="156">
        <f t="shared" si="1"/>
        <v>0.012549602866104612</v>
      </c>
      <c r="D37" s="171">
        <f t="shared" si="2"/>
        <v>0.9103946639325299</v>
      </c>
    </row>
    <row r="38" spans="1:4" ht="15">
      <c r="A38" s="93" t="s">
        <v>211</v>
      </c>
      <c r="B38" s="172">
        <v>2118.73</v>
      </c>
      <c r="C38" s="156">
        <f t="shared" si="1"/>
        <v>0.012549602866104612</v>
      </c>
      <c r="D38" s="171">
        <f t="shared" si="2"/>
        <v>0.9229442667986345</v>
      </c>
    </row>
    <row r="39" spans="1:4" ht="15">
      <c r="A39" s="93" t="s">
        <v>202</v>
      </c>
      <c r="B39" s="172">
        <v>2074.4</v>
      </c>
      <c r="C39" s="156">
        <f t="shared" si="1"/>
        <v>0.012287028637649633</v>
      </c>
      <c r="D39" s="171">
        <f t="shared" si="2"/>
        <v>0.9352312954362841</v>
      </c>
    </row>
    <row r="40" spans="1:4" ht="15">
      <c r="A40" s="93" t="s">
        <v>210</v>
      </c>
      <c r="B40" s="172">
        <v>1953.51</v>
      </c>
      <c r="C40" s="156">
        <f t="shared" si="1"/>
        <v>0.01157097633722278</v>
      </c>
      <c r="D40" s="171">
        <f t="shared" si="2"/>
        <v>0.946802271773507</v>
      </c>
    </row>
    <row r="41" spans="1:4" ht="15">
      <c r="A41" s="93" t="s">
        <v>118</v>
      </c>
      <c r="B41" s="172">
        <v>1937.92</v>
      </c>
      <c r="C41" s="156">
        <f t="shared" si="1"/>
        <v>0.011478634080926522</v>
      </c>
      <c r="D41" s="171">
        <f t="shared" si="2"/>
        <v>0.9582809058544335</v>
      </c>
    </row>
    <row r="42" spans="1:4" ht="15">
      <c r="A42" s="93" t="s">
        <v>159</v>
      </c>
      <c r="B42" s="172">
        <v>1937.92</v>
      </c>
      <c r="C42" s="156">
        <f t="shared" si="1"/>
        <v>0.011478634080926522</v>
      </c>
      <c r="D42" s="171">
        <f t="shared" si="2"/>
        <v>0.96975953993536</v>
      </c>
    </row>
    <row r="43" spans="1:4" ht="15">
      <c r="A43" s="93" t="s">
        <v>121</v>
      </c>
      <c r="B43" s="172">
        <v>1596.24</v>
      </c>
      <c r="C43" s="156">
        <f t="shared" si="1"/>
        <v>0.009454804566410456</v>
      </c>
      <c r="D43" s="171">
        <f t="shared" si="2"/>
        <v>0.9792143445017705</v>
      </c>
    </row>
    <row r="44" spans="1:4" ht="15">
      <c r="A44" s="93" t="s">
        <v>136</v>
      </c>
      <c r="B44" s="172">
        <v>1524.89</v>
      </c>
      <c r="C44" s="156">
        <f t="shared" si="1"/>
        <v>0.00903218622216812</v>
      </c>
      <c r="D44" s="171">
        <f t="shared" si="2"/>
        <v>0.9882465307239386</v>
      </c>
    </row>
    <row r="45" spans="1:4" ht="15">
      <c r="A45" s="93" t="s">
        <v>47</v>
      </c>
      <c r="B45" s="172">
        <v>1349.55</v>
      </c>
      <c r="C45" s="156">
        <f t="shared" si="1"/>
        <v>0.00799361718951989</v>
      </c>
      <c r="D45" s="171">
        <f t="shared" si="2"/>
        <v>0.9962401479134585</v>
      </c>
    </row>
    <row r="46" spans="1:4" ht="15">
      <c r="A46" s="93" t="s">
        <v>124</v>
      </c>
      <c r="B46" s="172">
        <v>634.77</v>
      </c>
      <c r="C46" s="156">
        <f t="shared" si="1"/>
        <v>0.0037598520865410995</v>
      </c>
      <c r="D46" s="171">
        <f t="shared" si="2"/>
        <v>0.9999999999999996</v>
      </c>
    </row>
    <row r="47" spans="1:2" ht="15">
      <c r="A47" s="158" t="s">
        <v>34</v>
      </c>
      <c r="B47" s="173">
        <f>SUM(B9:B46)</f>
        <v>168828.45000000007</v>
      </c>
    </row>
  </sheetData>
  <sheetProtection/>
  <mergeCells count="1">
    <mergeCell ref="A3:D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Demitrio Rabelo Fleck</dc:creator>
  <cp:keywords/>
  <dc:description/>
  <cp:lastModifiedBy>Tamires Barcellos Peron</cp:lastModifiedBy>
  <dcterms:created xsi:type="dcterms:W3CDTF">2019-06-17T13:06:13Z</dcterms:created>
  <dcterms:modified xsi:type="dcterms:W3CDTF">2021-10-04T20:35:10Z</dcterms:modified>
  <cp:category/>
  <cp:version/>
  <cp:contentType/>
  <cp:contentStatus/>
</cp:coreProperties>
</file>