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orcamento" sheetId="1" r:id="rId1"/>
    <sheet name="composicao" sheetId="2" r:id="rId2"/>
    <sheet name="cronograma" sheetId="3" r:id="rId3"/>
    <sheet name="cotacao" sheetId="4" r:id="rId4"/>
    <sheet name="curva ABC" sheetId="5" r:id="rId5"/>
  </sheets>
  <definedNames/>
  <calcPr fullCalcOnLoad="1"/>
</workbook>
</file>

<file path=xl/sharedStrings.xml><?xml version="1.0" encoding="utf-8"?>
<sst xmlns="http://schemas.openxmlformats.org/spreadsheetml/2006/main" count="419" uniqueCount="190">
  <si>
    <t>ORÇAMENTO</t>
  </si>
  <si>
    <t>ITEM</t>
  </si>
  <si>
    <t>DESCRIÇÃO</t>
  </si>
  <si>
    <t>UNID.</t>
  </si>
  <si>
    <t xml:space="preserve">QUANT. </t>
  </si>
  <si>
    <t>PREÇO TOTAL</t>
  </si>
  <si>
    <t>1.1</t>
  </si>
  <si>
    <t>und</t>
  </si>
  <si>
    <t>2.1</t>
  </si>
  <si>
    <t>TOTAL</t>
  </si>
  <si>
    <t>Serviço</t>
  </si>
  <si>
    <t>Total</t>
  </si>
  <si>
    <t>Notas:</t>
  </si>
  <si>
    <t>Desembolso</t>
  </si>
  <si>
    <t>DATA REFERENCIA:</t>
  </si>
  <si>
    <t>COTAÇÃO</t>
  </si>
  <si>
    <t>PREÇO UNITARIO</t>
  </si>
  <si>
    <t>CNPJ</t>
  </si>
  <si>
    <t>Telefone</t>
  </si>
  <si>
    <t>77.888.485/0001-26</t>
  </si>
  <si>
    <t>Email</t>
  </si>
  <si>
    <t>Data</t>
  </si>
  <si>
    <t>DADOS DA EMPRESA</t>
  </si>
  <si>
    <t>PREÇOS TOTAIS</t>
  </si>
  <si>
    <t>3.1</t>
  </si>
  <si>
    <t>CUSTO UNITARIO</t>
  </si>
  <si>
    <t>BDI</t>
  </si>
  <si>
    <t>CÓDIGO:</t>
  </si>
  <si>
    <t>DESCRIÇÃO:</t>
  </si>
  <si>
    <t>UNIDADE</t>
  </si>
  <si>
    <t>QUANT.</t>
  </si>
  <si>
    <t>REFERENCIA</t>
  </si>
  <si>
    <t>ENGENHEIRO CIVIL PLENO COM ENCARGOS COMPLEMENTARES</t>
  </si>
  <si>
    <t>CCU 01</t>
  </si>
  <si>
    <t>Veículo leve - 53 kW (sem motorista)</t>
  </si>
  <si>
    <t>CCU 02</t>
  </si>
  <si>
    <t>DESENHISTA PROJETISTA COM ENCARGOS COMPLEMENTARES</t>
  </si>
  <si>
    <t>PREFEITURA MUNICIPAL DE PORTO ALEGRE</t>
  </si>
  <si>
    <t>FONTE</t>
  </si>
  <si>
    <t>CÓDIGO</t>
  </si>
  <si>
    <t>COMPOSIÇÃO</t>
  </si>
  <si>
    <t>Engº Civil Demitrio Fleck</t>
  </si>
  <si>
    <t>CREA RS 145877</t>
  </si>
  <si>
    <t>Esclerometria</t>
  </si>
  <si>
    <t>Pacometria</t>
  </si>
  <si>
    <t>Resistividade</t>
  </si>
  <si>
    <t>Potencial de Corrosão</t>
  </si>
  <si>
    <t>Carbonatação</t>
  </si>
  <si>
    <t>2.2</t>
  </si>
  <si>
    <t>COMPOSIÇÃO DE CUSTOS UNITÁRIOS</t>
  </si>
  <si>
    <t>CUSTO TOTAL:</t>
  </si>
  <si>
    <t xml:space="preserve"> TOTAL</t>
  </si>
  <si>
    <t>H</t>
  </si>
  <si>
    <t xml:space="preserve">SINAPI </t>
  </si>
  <si>
    <t xml:space="preserve">ENGENHEIRO CIVIL PLENO COM ENCARGOS COMPLEMENTARES </t>
  </si>
  <si>
    <t xml:space="preserve">Microcomputador + Sistema operacional + Office + No-break </t>
  </si>
  <si>
    <t>MÊS</t>
  </si>
  <si>
    <t>DAER Tabela Supervisão</t>
  </si>
  <si>
    <t>3.1.1</t>
  </si>
  <si>
    <t>AUTODESK AUTOCAD - 2016 (SIMILAR OU SUPERIOR)</t>
  </si>
  <si>
    <t>ANO</t>
  </si>
  <si>
    <t>SUDECAP</t>
  </si>
  <si>
    <t>93.22.10</t>
  </si>
  <si>
    <t>5.1</t>
  </si>
  <si>
    <t>A4 - Plotagem em Papel Comum - Preto/Branco</t>
  </si>
  <si>
    <t>UND</t>
  </si>
  <si>
    <t xml:space="preserve">7.14 </t>
  </si>
  <si>
    <t>5.2</t>
  </si>
  <si>
    <t>A1 - Plotagem em Papel Comum - Preto/Branco</t>
  </si>
  <si>
    <t xml:space="preserve">7.03 </t>
  </si>
  <si>
    <t>3.2</t>
  </si>
  <si>
    <t>CHP</t>
  </si>
  <si>
    <t>SICRO</t>
  </si>
  <si>
    <t>E9093</t>
  </si>
  <si>
    <t>ENCARGOS SOCIAIS: 111,10% horista / 69,16% mensalista (Não desonerado)</t>
  </si>
  <si>
    <t>ENGENHEIRO CIVIL SENIOR COM ENCARGOS COMPLEMENTARES (Coordenação e acompanhamento)</t>
  </si>
  <si>
    <t>COTAÇÕES</t>
  </si>
  <si>
    <t>CREA RS</t>
  </si>
  <si>
    <t>contato@ipmate.com.br</t>
  </si>
  <si>
    <t>(85) 98146-8763</t>
  </si>
  <si>
    <t>IPMAT</t>
  </si>
  <si>
    <t>a)</t>
  </si>
  <si>
    <t>b)</t>
  </si>
  <si>
    <t>d)</t>
  </si>
  <si>
    <t>e)</t>
  </si>
  <si>
    <t>f)</t>
  </si>
  <si>
    <t>PREÇOS UNIT.</t>
  </si>
  <si>
    <t>Ensaios Laboratoriais</t>
  </si>
  <si>
    <t>1.2</t>
  </si>
  <si>
    <t>1.3</t>
  </si>
  <si>
    <t>1.4</t>
  </si>
  <si>
    <t>Preço Unitario</t>
  </si>
  <si>
    <t>Quant.</t>
  </si>
  <si>
    <t>Total por Mês</t>
  </si>
  <si>
    <t>Total Acumulado</t>
  </si>
  <si>
    <t>Levantamentos de campo</t>
  </si>
  <si>
    <t>CREA RS - jan/2021</t>
  </si>
  <si>
    <t>QUANTIDADES</t>
  </si>
  <si>
    <t>TÉCNICO EM SEGURANÇA DO TRABALHO COM ENCARGOS COMPLEMENTARES</t>
  </si>
  <si>
    <t>Gerenciamento, Mobilização e Relatorio</t>
  </si>
  <si>
    <t>Extração Corpo de Prova e Ensaio de Resistencia a Compressão</t>
  </si>
  <si>
    <t>c)</t>
  </si>
  <si>
    <t>Estação Total</t>
  </si>
  <si>
    <t>3.2.2</t>
  </si>
  <si>
    <t>4 dias x 8h (levan.)</t>
  </si>
  <si>
    <t>Serviços auxiliares</t>
  </si>
  <si>
    <t>Relatório de Patologia</t>
  </si>
  <si>
    <t>Levantamento das Patologias</t>
  </si>
  <si>
    <t>Levantamento Cadastral e Geometrico</t>
  </si>
  <si>
    <t>c</t>
  </si>
  <si>
    <t>Ultrassom</t>
  </si>
  <si>
    <t>d</t>
  </si>
  <si>
    <t>e</t>
  </si>
  <si>
    <t>f</t>
  </si>
  <si>
    <t>a</t>
  </si>
  <si>
    <t>b</t>
  </si>
  <si>
    <t>g</t>
  </si>
  <si>
    <t>h</t>
  </si>
  <si>
    <t>g)</t>
  </si>
  <si>
    <t>h)</t>
  </si>
  <si>
    <t>Gerenciamento, Mobilização e Relatório</t>
  </si>
  <si>
    <t>Inspeção Especial</t>
  </si>
  <si>
    <t>CCU 03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</si>
  <si>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</si>
  <si>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</si>
  <si>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</si>
  <si>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</si>
  <si>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</si>
  <si>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</si>
  <si>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</si>
  <si>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</si>
  <si>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1.2.1</t>
  </si>
  <si>
    <t>1.2.2</t>
  </si>
  <si>
    <t>1.3.1</t>
  </si>
  <si>
    <t>1.4.1</t>
  </si>
  <si>
    <t>Análise do Quadro Patologico</t>
  </si>
  <si>
    <t>Documento de Responsabilidade Técnica</t>
  </si>
  <si>
    <t>7 dias x 8h</t>
  </si>
  <si>
    <t>DIA 30</t>
  </si>
  <si>
    <t>AUXILIAR DE TOPÓGRAFO COM ENCARGOS COMPLEMENTARES</t>
  </si>
  <si>
    <t>SINAPI</t>
  </si>
  <si>
    <t>CAMINHONETE CABINE SIMPLES COM MOTOR 1.6 FLEX, CÂMBIO MANUAL, POTÊNCIA 101/104 CV, 2 PORTAS</t>
  </si>
  <si>
    <t>CHI</t>
  </si>
  <si>
    <t>8.1</t>
  </si>
  <si>
    <t>8.2</t>
  </si>
  <si>
    <t>Planialtimétrico</t>
  </si>
  <si>
    <t>TOPOGRAFO COM ENCARGOS COMPLEMENTARES</t>
  </si>
  <si>
    <t>5.3</t>
  </si>
  <si>
    <t>7.1</t>
  </si>
  <si>
    <t>7.2</t>
  </si>
  <si>
    <t>2 dias x 8h (levan.)</t>
  </si>
  <si>
    <t>2 dias x 8h (levan.)
2 dias x 8h (escrit.)</t>
  </si>
  <si>
    <t>4 dias x 8h (levan.)
2 dias x 8h (escrit.)</t>
  </si>
  <si>
    <t>2 dias x 1h (levan.)
4h (mont/desm.)</t>
  </si>
  <si>
    <t>4 dias x 1h (levan.)
4h (mont/desm.)</t>
  </si>
  <si>
    <t>4 dias x 4 trechos x 1h
4h (mont/desm.)</t>
  </si>
  <si>
    <t>2 dias x 4 trechos x 1h 
4h (mont/desm.)</t>
  </si>
  <si>
    <t>Levantamento</t>
  </si>
  <si>
    <t>Bruke</t>
  </si>
  <si>
    <t>moreira@brukesa.com</t>
  </si>
  <si>
    <t>(41) 99962-2018</t>
  </si>
  <si>
    <t>12.800.679/0001-82</t>
  </si>
  <si>
    <t>SECRETARIA MUNICIPAL DE OBRAS E INFRAESTRUTURA</t>
  </si>
  <si>
    <t>CURVA ABC</t>
  </si>
  <si>
    <t>% SOBRE TOTAL</t>
  </si>
  <si>
    <t>% ACUMULADO</t>
  </si>
  <si>
    <t>Concretus</t>
  </si>
  <si>
    <t>suporte@concretus.com.br</t>
  </si>
  <si>
    <t>(51) 3371-2267</t>
  </si>
  <si>
    <t>08.294.512/0001-10</t>
  </si>
  <si>
    <t>SERVIÇO</t>
  </si>
  <si>
    <t>PREÇOS ADOTADOS
(global mediano)</t>
  </si>
  <si>
    <t>TOTAL GLOBAL</t>
  </si>
  <si>
    <r>
      <rPr>
        <b/>
        <sz val="11"/>
        <rFont val="Calibri"/>
        <family val="2"/>
      </rPr>
      <t xml:space="preserve">Obra: </t>
    </r>
    <r>
      <rPr>
        <sz val="11"/>
        <rFont val="Calibri"/>
        <family val="2"/>
      </rPr>
      <t>SERVIÇO DE INSPEÇÃO ESPECIAL EM 1 PONTE DA RUA CAPITÃO COELHO</t>
    </r>
  </si>
  <si>
    <r>
      <rPr>
        <b/>
        <sz val="11"/>
        <color indexed="8"/>
        <rFont val="Calibri"/>
        <family val="2"/>
      </rPr>
      <t>Endereço:</t>
    </r>
    <r>
      <rPr>
        <sz val="11"/>
        <color theme="1"/>
        <rFont val="Calibri"/>
        <family val="2"/>
      </rPr>
      <t xml:space="preserve">  RUA CAPITÃO COELHO - ILHA DA PINTADA - PORTO ALEGRE - RS</t>
    </r>
  </si>
  <si>
    <t>Plataforma telescópica para inspeção de pontes montada sobre chassi com capacidade de 500kg</t>
  </si>
  <si>
    <t>CRONOGRAMA FÍSICO-FINANCEIRO</t>
  </si>
  <si>
    <t>SINAPI RS - ago/2021</t>
  </si>
  <si>
    <t>DAER RS - mai/2019 - atualizado para ago/2021 pelo Índice de Consultoria DNIT por:</t>
  </si>
  <si>
    <t>SUDECAP MG - ago/2020 - atualizado para ago/2021 pelo Índice de Consultoria DNIT por:</t>
  </si>
  <si>
    <t>SICRO RS - abr/2021 - atualizado para ago/2021 pelo Índice de Consultoria DNIT por:</t>
  </si>
  <si>
    <t>Porto Alegre, 01 de outubro de 2021</t>
  </si>
  <si>
    <t>PREÇOS ATUALIZADOS</t>
  </si>
  <si>
    <t>COTAÇÕES - abr/2021 - atualizado para ago/2021 pelo Índice de Consultoria DNIT por:</t>
  </si>
  <si>
    <t>CCU 04</t>
  </si>
  <si>
    <t>dia</t>
  </si>
  <si>
    <t>A9378</t>
  </si>
  <si>
    <t>SERVENTE COM ENCARGOS COMPLEMENTARES</t>
  </si>
  <si>
    <t>sinalização e aviso moradores</t>
  </si>
  <si>
    <t>CONE DE SINALIZACAO EM PVC RIGIDO COM FAIXA REFLETIVA, H = 70 / 76 CM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</si>
</sst>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_(* #,##0.00_);_(* \(#,##0.00\);_(* \-??_);_(@_)"/>
    <numFmt numFmtId="168" formatCode="_-&quot;R$&quot;\ * #,##0.000_-;\-&quot;R$&quot;\ * #,##0.000_-;_-&quot;R$&quot;\ * &quot;-&quot;??_-;_-@_-"/>
    <numFmt numFmtId="169" formatCode="_-&quot;R$&quot;\ * #,##0.0000_-;\-&quot;R$&quot;\ * #,##0.00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0.000%"/>
    <numFmt numFmtId="175" formatCode="0.0000%"/>
    <numFmt numFmtId="176" formatCode="_-&quot;R$&quot;\ * #,##0.00000_-;\-&quot;R$&quot;\ * #,##0.00000_-;_-&quot;R$&quot;\ * &quot;-&quot;??_-;_-@_-"/>
    <numFmt numFmtId="177" formatCode="_-&quot;R$&quot;\ * #,##0.000000_-;\-&quot;R$&quot;\ * #,##0.000000_-;_-&quot;R$&quot;\ * &quot;-&quot;??_-;_-@_-"/>
    <numFmt numFmtId="178" formatCode="0.000"/>
    <numFmt numFmtId="179" formatCode="0.0000"/>
    <numFmt numFmtId="180" formatCode="#,##0.00_ ;\-#,##0.00\ "/>
    <numFmt numFmtId="181" formatCode="#,##0.000"/>
    <numFmt numFmtId="182" formatCode="#,##0.0000"/>
    <numFmt numFmtId="183" formatCode="#,##0.00000"/>
    <numFmt numFmtId="184" formatCode="0.000000"/>
    <numFmt numFmtId="185" formatCode="0.00000"/>
    <numFmt numFmtId="186" formatCode="_-&quot;R$&quot;\ * #,##0.0_-;\-&quot;R$&quot;\ * #,##0.0_-;_-&quot;R$&quot;\ * &quot;-&quot;??_-;_-@_-"/>
    <numFmt numFmtId="187" formatCode="_-&quot;R$&quot;\ * #,##0_-;\-&quot;R$&quot;\ * #,##0_-;_-&quot;R$&quot;\ * &quot;-&quot;??_-;_-@_-"/>
    <numFmt numFmtId="188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1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30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0" xfId="44" applyFont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4" fontId="4" fillId="0" borderId="10" xfId="48" applyFont="1" applyFill="1" applyBorder="1" applyAlignment="1">
      <alignment horizontal="right" vertical="center"/>
    </xf>
    <xf numFmtId="4" fontId="2" fillId="0" borderId="0" xfId="44" applyNumberFormat="1" applyFont="1" applyBorder="1" applyAlignment="1">
      <alignment vertical="center"/>
      <protection/>
    </xf>
    <xf numFmtId="0" fontId="6" fillId="0" borderId="0" xfId="44" applyFont="1" applyAlignment="1">
      <alignment vertical="center"/>
      <protection/>
    </xf>
    <xf numFmtId="0" fontId="6" fillId="0" borderId="0" xfId="44" applyFont="1" applyBorder="1" applyAlignment="1">
      <alignment vertical="center"/>
      <protection/>
    </xf>
    <xf numFmtId="0" fontId="7" fillId="0" borderId="0" xfId="44" applyFont="1" applyBorder="1" applyAlignment="1">
      <alignment vertical="center"/>
      <protection/>
    </xf>
    <xf numFmtId="4" fontId="7" fillId="0" borderId="0" xfId="44" applyNumberFormat="1" applyFont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left" vertical="center"/>
    </xf>
    <xf numFmtId="0" fontId="58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44" fontId="4" fillId="0" borderId="12" xfId="48" applyFont="1" applyFill="1" applyBorder="1" applyAlignment="1">
      <alignment horizontal="right" vertical="center"/>
    </xf>
    <xf numFmtId="44" fontId="4" fillId="0" borderId="13" xfId="48" applyFont="1" applyFill="1" applyBorder="1" applyAlignment="1">
      <alignment horizontal="right" vertical="center"/>
    </xf>
    <xf numFmtId="3" fontId="6" fillId="34" borderId="14" xfId="0" applyNumberFormat="1" applyFont="1" applyFill="1" applyBorder="1" applyAlignment="1">
      <alignment horizontal="left" vertical="center"/>
    </xf>
    <xf numFmtId="0" fontId="58" fillId="34" borderId="15" xfId="0" applyFont="1" applyFill="1" applyBorder="1" applyAlignment="1">
      <alignment vertical="center" wrapText="1"/>
    </xf>
    <xf numFmtId="0" fontId="58" fillId="34" borderId="14" xfId="0" applyFont="1" applyFill="1" applyBorder="1" applyAlignment="1">
      <alignment horizontal="center" vertical="center"/>
    </xf>
    <xf numFmtId="1" fontId="58" fillId="34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4" fontId="5" fillId="36" borderId="10" xfId="44" applyNumberFormat="1" applyFont="1" applyFill="1" applyBorder="1" applyAlignment="1">
      <alignment horizontal="center" vertical="center" wrapText="1"/>
      <protection/>
    </xf>
    <xf numFmtId="4" fontId="5" fillId="36" borderId="12" xfId="44" applyNumberFormat="1" applyFont="1" applyFill="1" applyBorder="1" applyAlignment="1">
      <alignment horizontal="center" vertical="center" wrapText="1"/>
      <protection/>
    </xf>
    <xf numFmtId="44" fontId="5" fillId="37" borderId="10" xfId="48" applyFont="1" applyFill="1" applyBorder="1" applyAlignment="1">
      <alignment horizontal="right" vertical="center"/>
    </xf>
    <xf numFmtId="0" fontId="57" fillId="0" borderId="0" xfId="0" applyFont="1" applyAlignment="1">
      <alignment/>
    </xf>
    <xf numFmtId="4" fontId="4" fillId="0" borderId="0" xfId="44" applyNumberFormat="1" applyFont="1" applyBorder="1" applyAlignment="1">
      <alignment vertical="center"/>
      <protection/>
    </xf>
    <xf numFmtId="4" fontId="6" fillId="0" borderId="0" xfId="44" applyNumberFormat="1" applyFont="1" applyBorder="1" applyAlignment="1">
      <alignment vertical="center"/>
      <protection/>
    </xf>
    <xf numFmtId="0" fontId="7" fillId="0" borderId="16" xfId="44" applyFont="1" applyBorder="1" applyAlignment="1">
      <alignment vertical="center"/>
      <protection/>
    </xf>
    <xf numFmtId="183" fontId="7" fillId="0" borderId="0" xfId="44" applyNumberFormat="1" applyFont="1" applyBorder="1" applyAlignment="1">
      <alignment vertical="center"/>
      <protection/>
    </xf>
    <xf numFmtId="0" fontId="8" fillId="38" borderId="17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9" fillId="39" borderId="18" xfId="0" applyFont="1" applyFill="1" applyBorder="1" applyAlignment="1">
      <alignment vertical="center"/>
    </xf>
    <xf numFmtId="0" fontId="9" fillId="39" borderId="19" xfId="0" applyFont="1" applyFill="1" applyBorder="1" applyAlignment="1">
      <alignment vertical="center"/>
    </xf>
    <xf numFmtId="0" fontId="10" fillId="39" borderId="20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 wrapText="1"/>
    </xf>
    <xf numFmtId="9" fontId="10" fillId="39" borderId="0" xfId="54" applyFont="1" applyFill="1" applyBorder="1" applyAlignment="1">
      <alignment horizontal="center" vertical="center" wrapText="1"/>
    </xf>
    <xf numFmtId="0" fontId="10" fillId="39" borderId="21" xfId="0" applyFont="1" applyFill="1" applyBorder="1" applyAlignment="1">
      <alignment horizontal="center" vertical="center" wrapText="1"/>
    </xf>
    <xf numFmtId="9" fontId="0" fillId="0" borderId="0" xfId="54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39" borderId="0" xfId="0" applyFont="1" applyFill="1" applyBorder="1" applyAlignment="1">
      <alignment vertical="center"/>
    </xf>
    <xf numFmtId="0" fontId="11" fillId="39" borderId="0" xfId="0" applyFont="1" applyFill="1" applyBorder="1" applyAlignment="1">
      <alignment horizontal="center" vertical="center"/>
    </xf>
    <xf numFmtId="0" fontId="11" fillId="39" borderId="22" xfId="0" applyFont="1" applyFill="1" applyBorder="1" applyAlignment="1">
      <alignment horizontal="center" vertical="center"/>
    </xf>
    <xf numFmtId="0" fontId="11" fillId="39" borderId="17" xfId="0" applyFont="1" applyFill="1" applyBorder="1" applyAlignment="1">
      <alignment horizontal="center" vertical="center"/>
    </xf>
    <xf numFmtId="9" fontId="11" fillId="39" borderId="17" xfId="54" applyFont="1" applyFill="1" applyBorder="1" applyAlignment="1">
      <alignment horizontal="center" vertical="center"/>
    </xf>
    <xf numFmtId="0" fontId="11" fillId="39" borderId="2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12" fillId="40" borderId="13" xfId="44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3" fontId="58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4" fontId="4" fillId="0" borderId="0" xfId="48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4" fillId="0" borderId="24" xfId="44" applyFont="1" applyBorder="1" applyAlignment="1">
      <alignment vertical="center"/>
      <protection/>
    </xf>
    <xf numFmtId="0" fontId="9" fillId="39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8" fillId="38" borderId="0" xfId="0" applyFont="1" applyFill="1" applyBorder="1" applyAlignment="1">
      <alignment horizontal="center" vertical="center"/>
    </xf>
    <xf numFmtId="9" fontId="9" fillId="39" borderId="0" xfId="54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9" fontId="9" fillId="39" borderId="19" xfId="54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9" fontId="9" fillId="39" borderId="25" xfId="54" applyFont="1" applyFill="1" applyBorder="1" applyAlignment="1">
      <alignment horizontal="center" vertical="center"/>
    </xf>
    <xf numFmtId="9" fontId="10" fillId="39" borderId="21" xfId="54" applyFont="1" applyFill="1" applyBorder="1" applyAlignment="1">
      <alignment horizontal="center" vertical="center" wrapText="1"/>
    </xf>
    <xf numFmtId="0" fontId="11" fillId="39" borderId="20" xfId="0" applyFont="1" applyFill="1" applyBorder="1" applyAlignment="1">
      <alignment horizontal="center" vertical="center"/>
    </xf>
    <xf numFmtId="9" fontId="11" fillId="39" borderId="0" xfId="54" applyFont="1" applyFill="1" applyBorder="1" applyAlignment="1">
      <alignment horizontal="center" vertical="center"/>
    </xf>
    <xf numFmtId="9" fontId="11" fillId="39" borderId="21" xfId="54" applyFont="1" applyFill="1" applyBorder="1" applyAlignment="1">
      <alignment horizontal="center" vertical="center"/>
    </xf>
    <xf numFmtId="9" fontId="11" fillId="39" borderId="23" xfId="54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37" borderId="26" xfId="51" applyFont="1" applyFill="1" applyBorder="1" applyAlignment="1">
      <alignment vertical="center"/>
      <protection/>
    </xf>
    <xf numFmtId="0" fontId="4" fillId="37" borderId="24" xfId="51" applyFont="1" applyFill="1" applyBorder="1" applyAlignment="1">
      <alignment vertical="center"/>
      <protection/>
    </xf>
    <xf numFmtId="0" fontId="4" fillId="37" borderId="24" xfId="51" applyFont="1" applyFill="1" applyBorder="1" applyAlignment="1">
      <alignment horizontal="center" vertical="center"/>
      <protection/>
    </xf>
    <xf numFmtId="0" fontId="5" fillId="37" borderId="11" xfId="51" applyFont="1" applyFill="1" applyBorder="1" applyAlignment="1">
      <alignment horizontal="center" vertical="center"/>
      <protection/>
    </xf>
    <xf numFmtId="0" fontId="4" fillId="37" borderId="14" xfId="51" applyFont="1" applyFill="1" applyBorder="1" applyAlignment="1">
      <alignment vertical="center"/>
      <protection/>
    </xf>
    <xf numFmtId="0" fontId="4" fillId="37" borderId="27" xfId="0" applyFont="1" applyFill="1" applyBorder="1" applyAlignment="1">
      <alignment/>
    </xf>
    <xf numFmtId="0" fontId="4" fillId="37" borderId="16" xfId="51" applyFont="1" applyFill="1" applyBorder="1" applyAlignment="1">
      <alignment vertical="center" wrapText="1"/>
      <protection/>
    </xf>
    <xf numFmtId="0" fontId="4" fillId="37" borderId="28" xfId="51" applyFont="1" applyFill="1" applyBorder="1" applyAlignment="1">
      <alignment horizontal="center" vertical="center" wrapText="1"/>
      <protection/>
    </xf>
    <xf numFmtId="9" fontId="4" fillId="37" borderId="14" xfId="51" applyNumberFormat="1" applyFont="1" applyFill="1" applyBorder="1" applyAlignment="1">
      <alignment horizontal="center" vertical="center"/>
      <protection/>
    </xf>
    <xf numFmtId="44" fontId="5" fillId="37" borderId="14" xfId="48" applyNumberFormat="1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/>
    </xf>
    <xf numFmtId="167" fontId="5" fillId="41" borderId="10" xfId="59" applyFont="1" applyFill="1" applyBorder="1" applyAlignment="1">
      <alignment horizontal="center" vertical="center" wrapText="1"/>
    </xf>
    <xf numFmtId="49" fontId="5" fillId="41" borderId="10" xfId="57" applyNumberFormat="1" applyFont="1" applyFill="1" applyBorder="1" applyAlignment="1">
      <alignment horizontal="center" vertical="center" wrapText="1"/>
    </xf>
    <xf numFmtId="167" fontId="5" fillId="34" borderId="10" xfId="59" applyFont="1" applyFill="1" applyBorder="1" applyAlignment="1">
      <alignment horizontal="center" vertical="center" wrapText="1"/>
    </xf>
    <xf numFmtId="49" fontId="5" fillId="41" borderId="13" xfId="57" applyNumberFormat="1" applyFont="1" applyFill="1" applyBorder="1" applyAlignment="1">
      <alignment horizontal="center" vertical="center" wrapText="1"/>
    </xf>
    <xf numFmtId="49" fontId="5" fillId="41" borderId="12" xfId="57" applyNumberFormat="1" applyFont="1" applyFill="1" applyBorder="1" applyAlignment="1">
      <alignment horizontal="center" vertical="center" wrapText="1"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51" applyFont="1" applyFill="1" applyBorder="1" applyAlignment="1">
      <alignment vertical="center" wrapText="1"/>
      <protection/>
    </xf>
    <xf numFmtId="0" fontId="4" fillId="0" borderId="10" xfId="51" applyFont="1" applyFill="1" applyBorder="1" applyAlignment="1">
      <alignment horizontal="left" vertical="center" wrapText="1"/>
      <protection/>
    </xf>
    <xf numFmtId="44" fontId="4" fillId="0" borderId="10" xfId="48" applyFont="1" applyBorder="1" applyAlignment="1">
      <alignment vertical="center"/>
    </xf>
    <xf numFmtId="0" fontId="4" fillId="0" borderId="16" xfId="51" applyFont="1" applyBorder="1" applyAlignment="1">
      <alignment horizontal="left" vertical="center" wrapText="1"/>
      <protection/>
    </xf>
    <xf numFmtId="0" fontId="4" fillId="0" borderId="28" xfId="48" applyNumberFormat="1" applyFont="1" applyBorder="1" applyAlignment="1">
      <alignment horizontal="left" vertical="center"/>
    </xf>
    <xf numFmtId="44" fontId="4" fillId="0" borderId="10" xfId="48" applyFont="1" applyFill="1" applyBorder="1" applyAlignment="1">
      <alignment vertical="center"/>
    </xf>
    <xf numFmtId="0" fontId="4" fillId="0" borderId="10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vertical="center" wrapText="1"/>
      <protection/>
    </xf>
    <xf numFmtId="0" fontId="4" fillId="0" borderId="28" xfId="48" applyNumberFormat="1" applyFont="1" applyFill="1" applyBorder="1" applyAlignment="1">
      <alignment horizontal="left" vertical="center"/>
    </xf>
    <xf numFmtId="0" fontId="4" fillId="0" borderId="16" xfId="51" applyFont="1" applyFill="1" applyBorder="1" applyAlignment="1">
      <alignment horizontal="left" vertical="center" wrapText="1"/>
      <protection/>
    </xf>
    <xf numFmtId="0" fontId="4" fillId="0" borderId="12" xfId="48" applyNumberFormat="1" applyFont="1" applyFill="1" applyBorder="1" applyAlignment="1">
      <alignment horizontal="left" vertical="center"/>
    </xf>
    <xf numFmtId="0" fontId="4" fillId="0" borderId="13" xfId="51" applyFont="1" applyFill="1" applyBorder="1" applyAlignment="1">
      <alignment vertical="center" wrapText="1"/>
      <protection/>
    </xf>
    <xf numFmtId="0" fontId="4" fillId="0" borderId="14" xfId="51" applyFont="1" applyFill="1" applyBorder="1" applyAlignment="1">
      <alignment vertical="center" wrapText="1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left" vertical="center" wrapText="1"/>
      <protection/>
    </xf>
    <xf numFmtId="0" fontId="4" fillId="0" borderId="12" xfId="48" applyNumberFormat="1" applyFont="1" applyFill="1" applyBorder="1" applyAlignment="1">
      <alignment horizontal="left" vertical="center" wrapText="1"/>
    </xf>
    <xf numFmtId="0" fontId="4" fillId="37" borderId="27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57" applyNumberFormat="1" applyFont="1" applyFill="1" applyBorder="1" applyAlignment="1">
      <alignment horizontal="center" vertical="center" wrapText="1"/>
    </xf>
    <xf numFmtId="49" fontId="5" fillId="34" borderId="13" xfId="57" applyNumberFormat="1" applyFont="1" applyFill="1" applyBorder="1" applyAlignment="1">
      <alignment horizontal="center" vertical="center" wrapText="1"/>
    </xf>
    <xf numFmtId="49" fontId="5" fillId="34" borderId="12" xfId="57" applyNumberFormat="1" applyFont="1" applyFill="1" applyBorder="1" applyAlignment="1">
      <alignment horizontal="center" vertical="center" wrapText="1"/>
    </xf>
    <xf numFmtId="179" fontId="4" fillId="0" borderId="10" xfId="51" applyNumberFormat="1" applyFont="1" applyFill="1" applyBorder="1" applyAlignment="1">
      <alignment horizontal="center" vertical="center"/>
      <protection/>
    </xf>
    <xf numFmtId="179" fontId="4" fillId="0" borderId="14" xfId="51" applyNumberFormat="1" applyFont="1" applyFill="1" applyBorder="1" applyAlignment="1">
      <alignment horizontal="center" vertical="center"/>
      <protection/>
    </xf>
    <xf numFmtId="0" fontId="4" fillId="0" borderId="13" xfId="51" applyFont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1" applyFont="1" applyBorder="1" applyAlignment="1">
      <alignment horizontal="left" vertical="center" wrapText="1"/>
      <protection/>
    </xf>
    <xf numFmtId="0" fontId="4" fillId="0" borderId="13" xfId="57" applyNumberFormat="1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vertical="center"/>
    </xf>
    <xf numFmtId="3" fontId="6" fillId="34" borderId="13" xfId="0" applyNumberFormat="1" applyFont="1" applyFill="1" applyBorder="1" applyAlignment="1">
      <alignment vertical="center" wrapText="1"/>
    </xf>
    <xf numFmtId="3" fontId="6" fillId="34" borderId="12" xfId="0" applyNumberFormat="1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vertical="center"/>
    </xf>
    <xf numFmtId="0" fontId="8" fillId="38" borderId="19" xfId="0" applyFont="1" applyFill="1" applyBorder="1" applyAlignment="1">
      <alignment horizontal="center" vertical="center"/>
    </xf>
    <xf numFmtId="0" fontId="9" fillId="39" borderId="25" xfId="0" applyFont="1" applyFill="1" applyBorder="1" applyAlignment="1">
      <alignment horizontal="center" vertical="center"/>
    </xf>
    <xf numFmtId="0" fontId="11" fillId="39" borderId="21" xfId="0" applyFont="1" applyFill="1" applyBorder="1" applyAlignment="1">
      <alignment horizontal="center" vertical="center"/>
    </xf>
    <xf numFmtId="9" fontId="4" fillId="0" borderId="10" xfId="51" applyNumberFormat="1" applyFont="1" applyFill="1" applyBorder="1" applyAlignment="1">
      <alignment horizontal="left" vertical="center" wrapText="1"/>
      <protection/>
    </xf>
    <xf numFmtId="179" fontId="4" fillId="0" borderId="14" xfId="51" applyNumberFormat="1" applyFont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/>
    </xf>
    <xf numFmtId="0" fontId="58" fillId="0" borderId="24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6" xfId="0" applyFont="1" applyBorder="1" applyAlignment="1">
      <alignment/>
    </xf>
    <xf numFmtId="0" fontId="4" fillId="0" borderId="26" xfId="44" applyFont="1" applyFill="1" applyBorder="1" applyAlignment="1">
      <alignment horizontal="left" vertical="center"/>
      <protection/>
    </xf>
    <xf numFmtId="0" fontId="4" fillId="0" borderId="30" xfId="44" applyFont="1" applyBorder="1" applyAlignment="1">
      <alignment horizontal="left" vertical="center"/>
      <protection/>
    </xf>
    <xf numFmtId="0" fontId="4" fillId="0" borderId="30" xfId="44" applyFont="1" applyFill="1" applyBorder="1" applyAlignment="1">
      <alignment horizontal="left" vertical="center"/>
      <protection/>
    </xf>
    <xf numFmtId="3" fontId="60" fillId="37" borderId="10" xfId="0" applyNumberFormat="1" applyFont="1" applyFill="1" applyBorder="1" applyAlignment="1">
      <alignment horizontal="left" vertical="center"/>
    </xf>
    <xf numFmtId="0" fontId="16" fillId="37" borderId="13" xfId="0" applyFont="1" applyFill="1" applyBorder="1" applyAlignment="1">
      <alignment horizontal="left" vertical="center"/>
    </xf>
    <xf numFmtId="0" fontId="16" fillId="37" borderId="12" xfId="0" applyFont="1" applyFill="1" applyBorder="1" applyAlignment="1">
      <alignment horizontal="left" vertical="center"/>
    </xf>
    <xf numFmtId="2" fontId="16" fillId="37" borderId="29" xfId="0" applyNumberFormat="1" applyFont="1" applyFill="1" applyBorder="1" applyAlignment="1">
      <alignment horizontal="right" vertical="center"/>
    </xf>
    <xf numFmtId="0" fontId="14" fillId="37" borderId="29" xfId="0" applyFont="1" applyFill="1" applyBorder="1" applyAlignment="1">
      <alignment horizontal="center" vertical="center"/>
    </xf>
    <xf numFmtId="44" fontId="16" fillId="37" borderId="29" xfId="48" applyFont="1" applyFill="1" applyBorder="1" applyAlignment="1">
      <alignment horizontal="right" vertical="center"/>
    </xf>
    <xf numFmtId="10" fontId="16" fillId="37" borderId="16" xfId="54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left" vertical="center"/>
    </xf>
    <xf numFmtId="0" fontId="16" fillId="38" borderId="13" xfId="0" applyFont="1" applyFill="1" applyBorder="1" applyAlignment="1">
      <alignment horizontal="left" vertical="center"/>
    </xf>
    <xf numFmtId="0" fontId="16" fillId="38" borderId="12" xfId="0" applyFont="1" applyFill="1" applyBorder="1" applyAlignment="1">
      <alignment horizontal="left" vertical="center"/>
    </xf>
    <xf numFmtId="44" fontId="59" fillId="0" borderId="10" xfId="48" applyFont="1" applyBorder="1" applyAlignment="1">
      <alignment vertical="center"/>
    </xf>
    <xf numFmtId="10" fontId="16" fillId="38" borderId="10" xfId="54" applyNumberFormat="1" applyFont="1" applyFill="1" applyBorder="1" applyAlignment="1">
      <alignment vertical="center"/>
    </xf>
    <xf numFmtId="44" fontId="16" fillId="38" borderId="11" xfId="48" applyFont="1" applyFill="1" applyBorder="1" applyAlignment="1">
      <alignment vertical="center"/>
    </xf>
    <xf numFmtId="44" fontId="16" fillId="0" borderId="11" xfId="48" applyFont="1" applyBorder="1" applyAlignment="1">
      <alignment vertical="center"/>
    </xf>
    <xf numFmtId="44" fontId="59" fillId="0" borderId="10" xfId="48" applyFont="1" applyFill="1" applyBorder="1" applyAlignment="1">
      <alignment vertical="center"/>
    </xf>
    <xf numFmtId="44" fontId="12" fillId="37" borderId="13" xfId="48" applyFont="1" applyFill="1" applyBorder="1" applyAlignment="1">
      <alignment horizontal="left"/>
    </xf>
    <xf numFmtId="44" fontId="12" fillId="37" borderId="10" xfId="48" applyFont="1" applyFill="1" applyBorder="1" applyAlignment="1">
      <alignment/>
    </xf>
    <xf numFmtId="2" fontId="59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44" fontId="4" fillId="0" borderId="10" xfId="48" applyNumberFormat="1" applyFont="1" applyFill="1" applyBorder="1" applyAlignment="1">
      <alignment vertical="center"/>
    </xf>
    <xf numFmtId="0" fontId="4" fillId="0" borderId="13" xfId="51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vertical="center" wrapText="1"/>
    </xf>
    <xf numFmtId="0" fontId="12" fillId="37" borderId="10" xfId="0" applyFont="1" applyFill="1" applyBorder="1" applyAlignment="1">
      <alignment horizontal="center" vertical="center"/>
    </xf>
    <xf numFmtId="44" fontId="59" fillId="0" borderId="11" xfId="0" applyNumberFormat="1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7" borderId="26" xfId="0" applyFont="1" applyFill="1" applyBorder="1" applyAlignment="1">
      <alignment vertical="center"/>
    </xf>
    <xf numFmtId="0" fontId="12" fillId="37" borderId="31" xfId="0" applyFont="1" applyFill="1" applyBorder="1" applyAlignment="1">
      <alignment vertical="center"/>
    </xf>
    <xf numFmtId="0" fontId="61" fillId="0" borderId="0" xfId="0" applyFont="1" applyAlignment="1">
      <alignment/>
    </xf>
    <xf numFmtId="0" fontId="12" fillId="37" borderId="27" xfId="0" applyFont="1" applyFill="1" applyBorder="1" applyAlignment="1">
      <alignment vertical="center"/>
    </xf>
    <xf numFmtId="0" fontId="12" fillId="37" borderId="28" xfId="0" applyFont="1" applyFill="1" applyBorder="1" applyAlignment="1">
      <alignment vertical="center"/>
    </xf>
    <xf numFmtId="9" fontId="10" fillId="39" borderId="32" xfId="54" applyFont="1" applyFill="1" applyBorder="1" applyAlignment="1">
      <alignment horizontal="center" vertical="center" wrapText="1"/>
    </xf>
    <xf numFmtId="9" fontId="10" fillId="39" borderId="30" xfId="54" applyFont="1" applyFill="1" applyBorder="1" applyAlignment="1">
      <alignment horizontal="center" vertical="center" wrapText="1"/>
    </xf>
    <xf numFmtId="9" fontId="10" fillId="39" borderId="27" xfId="54" applyFont="1" applyFill="1" applyBorder="1" applyAlignment="1">
      <alignment horizontal="center" vertical="center" wrapText="1"/>
    </xf>
    <xf numFmtId="0" fontId="11" fillId="39" borderId="22" xfId="0" applyNumberFormat="1" applyFont="1" applyFill="1" applyBorder="1" applyAlignment="1">
      <alignment horizontal="center" vertical="center"/>
    </xf>
    <xf numFmtId="0" fontId="11" fillId="39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/>
    </xf>
    <xf numFmtId="44" fontId="15" fillId="0" borderId="0" xfId="0" applyNumberFormat="1" applyFont="1" applyAlignment="1">
      <alignment/>
    </xf>
    <xf numFmtId="44" fontId="16" fillId="37" borderId="29" xfId="48" applyFont="1" applyFill="1" applyBorder="1" applyAlignment="1">
      <alignment vertical="center"/>
    </xf>
    <xf numFmtId="44" fontId="12" fillId="37" borderId="12" xfId="48" applyFont="1" applyFill="1" applyBorder="1" applyAlignment="1">
      <alignment vertical="center"/>
    </xf>
    <xf numFmtId="3" fontId="60" fillId="0" borderId="10" xfId="0" applyNumberFormat="1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3" fontId="12" fillId="0" borderId="13" xfId="44" applyNumberFormat="1" applyFont="1" applyFill="1" applyBorder="1" applyAlignment="1" applyProtection="1">
      <alignment horizontal="left" vertical="center"/>
      <protection/>
    </xf>
    <xf numFmtId="2" fontId="16" fillId="0" borderId="29" xfId="0" applyNumberFormat="1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center" vertical="center"/>
    </xf>
    <xf numFmtId="44" fontId="16" fillId="0" borderId="29" xfId="48" applyFont="1" applyFill="1" applyBorder="1" applyAlignment="1">
      <alignment horizontal="right" vertical="center"/>
    </xf>
    <xf numFmtId="10" fontId="16" fillId="0" borderId="16" xfId="54" applyNumberFormat="1" applyFont="1" applyFill="1" applyBorder="1" applyAlignment="1">
      <alignment vertical="center"/>
    </xf>
    <xf numFmtId="44" fontId="16" fillId="0" borderId="29" xfId="48" applyFont="1" applyFill="1" applyBorder="1" applyAlignment="1">
      <alignment vertical="center"/>
    </xf>
    <xf numFmtId="44" fontId="12" fillId="0" borderId="12" xfId="48" applyFont="1" applyFill="1" applyBorder="1" applyAlignment="1">
      <alignment vertical="center"/>
    </xf>
    <xf numFmtId="10" fontId="16" fillId="0" borderId="10" xfId="54" applyNumberFormat="1" applyFont="1" applyFill="1" applyBorder="1" applyAlignment="1">
      <alignment vertical="center"/>
    </xf>
    <xf numFmtId="44" fontId="16" fillId="0" borderId="11" xfId="48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8" fillId="0" borderId="31" xfId="0" applyFont="1" applyBorder="1" applyAlignment="1">
      <alignment/>
    </xf>
    <xf numFmtId="0" fontId="58" fillId="0" borderId="33" xfId="0" applyFont="1" applyBorder="1" applyAlignment="1">
      <alignment/>
    </xf>
    <xf numFmtId="0" fontId="58" fillId="0" borderId="28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16" fillId="37" borderId="31" xfId="48" applyFont="1" applyFill="1" applyBorder="1" applyAlignment="1">
      <alignment vertical="center"/>
    </xf>
    <xf numFmtId="0" fontId="12" fillId="37" borderId="11" xfId="0" applyFont="1" applyFill="1" applyBorder="1" applyAlignment="1">
      <alignment horizontal="center" vertical="center"/>
    </xf>
    <xf numFmtId="44" fontId="16" fillId="0" borderId="31" xfId="48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4" fontId="16" fillId="0" borderId="12" xfId="48" applyFont="1" applyFill="1" applyBorder="1" applyAlignment="1">
      <alignment vertical="center"/>
    </xf>
    <xf numFmtId="2" fontId="58" fillId="34" borderId="14" xfId="0" applyNumberFormat="1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vertical="center"/>
    </xf>
    <xf numFmtId="0" fontId="4" fillId="0" borderId="13" xfId="51" applyFont="1" applyFill="1" applyBorder="1" applyAlignment="1">
      <alignment horizontal="center" vertical="center"/>
      <protection/>
    </xf>
    <xf numFmtId="179" fontId="4" fillId="0" borderId="29" xfId="51" applyNumberFormat="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left" vertical="center" wrapText="1"/>
      <protection/>
    </xf>
    <xf numFmtId="44" fontId="4" fillId="0" borderId="29" xfId="48" applyFont="1" applyFill="1" applyBorder="1" applyAlignment="1">
      <alignment vertical="center"/>
    </xf>
    <xf numFmtId="0" fontId="4" fillId="0" borderId="12" xfId="48" applyNumberFormat="1" applyFont="1" applyFill="1" applyBorder="1" applyAlignment="1">
      <alignment horizontal="right" vertical="center"/>
    </xf>
    <xf numFmtId="169" fontId="4" fillId="0" borderId="10" xfId="48" applyNumberFormat="1" applyFont="1" applyFill="1" applyBorder="1" applyAlignment="1">
      <alignment vertical="center"/>
    </xf>
    <xf numFmtId="0" fontId="10" fillId="39" borderId="0" xfId="54" applyNumberFormat="1" applyFont="1" applyFill="1" applyBorder="1" applyAlignment="1">
      <alignment horizontal="center" vertical="center" wrapText="1"/>
    </xf>
    <xf numFmtId="0" fontId="10" fillId="39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0" fillId="39" borderId="0" xfId="0" applyNumberFormat="1" applyFont="1" applyFill="1" applyBorder="1" applyAlignment="1">
      <alignment horizontal="center" vertical="center" wrapText="1"/>
    </xf>
    <xf numFmtId="0" fontId="18" fillId="38" borderId="17" xfId="0" applyNumberFormat="1" applyFont="1" applyFill="1" applyBorder="1" applyAlignment="1">
      <alignment vertical="center"/>
    </xf>
    <xf numFmtId="0" fontId="19" fillId="39" borderId="19" xfId="0" applyNumberFormat="1" applyFont="1" applyFill="1" applyBorder="1" applyAlignment="1">
      <alignment vertical="center"/>
    </xf>
    <xf numFmtId="0" fontId="19" fillId="39" borderId="25" xfId="0" applyNumberFormat="1" applyFont="1" applyFill="1" applyBorder="1" applyAlignment="1">
      <alignment vertical="center"/>
    </xf>
    <xf numFmtId="0" fontId="0" fillId="0" borderId="0" xfId="54" applyNumberFormat="1" applyFont="1" applyFill="1" applyBorder="1" applyAlignment="1">
      <alignment/>
    </xf>
    <xf numFmtId="0" fontId="20" fillId="39" borderId="0" xfId="0" applyNumberFormat="1" applyFont="1" applyFill="1" applyBorder="1" applyAlignment="1">
      <alignment vertical="center"/>
    </xf>
    <xf numFmtId="0" fontId="20" fillId="39" borderId="21" xfId="0" applyNumberFormat="1" applyFont="1" applyFill="1" applyBorder="1" applyAlignment="1">
      <alignment vertical="center"/>
    </xf>
    <xf numFmtId="0" fontId="20" fillId="39" borderId="17" xfId="54" applyNumberFormat="1" applyFont="1" applyFill="1" applyBorder="1" applyAlignment="1">
      <alignment horizontal="center" vertical="center"/>
    </xf>
    <xf numFmtId="0" fontId="20" fillId="39" borderId="17" xfId="0" applyNumberFormat="1" applyFont="1" applyFill="1" applyBorder="1" applyAlignment="1">
      <alignment horizontal="center" vertical="center"/>
    </xf>
    <xf numFmtId="0" fontId="20" fillId="39" borderId="23" xfId="0" applyNumberFormat="1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10" fontId="6" fillId="0" borderId="33" xfId="44" applyNumberFormat="1" applyFont="1" applyBorder="1" applyAlignment="1">
      <alignment horizontal="left" vertical="center"/>
      <protection/>
    </xf>
    <xf numFmtId="169" fontId="58" fillId="0" borderId="10" xfId="48" applyNumberFormat="1" applyFont="1" applyFill="1" applyBorder="1" applyAlignment="1">
      <alignment horizontal="center" vertical="center"/>
    </xf>
    <xf numFmtId="169" fontId="4" fillId="0" borderId="10" xfId="48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79" fontId="4" fillId="0" borderId="10" xfId="51" applyNumberFormat="1" applyFont="1" applyBorder="1" applyAlignment="1">
      <alignment horizontal="center" vertical="center"/>
      <protection/>
    </xf>
    <xf numFmtId="179" fontId="0" fillId="0" borderId="10" xfId="0" applyNumberFormat="1" applyBorder="1" applyAlignment="1">
      <alignment horizontal="center" vertical="center"/>
    </xf>
    <xf numFmtId="0" fontId="9" fillId="39" borderId="25" xfId="0" applyFont="1" applyFill="1" applyBorder="1" applyAlignment="1">
      <alignment vertical="center"/>
    </xf>
    <xf numFmtId="9" fontId="10" fillId="39" borderId="20" xfId="54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4" fontId="6" fillId="0" borderId="10" xfId="48" applyFont="1" applyBorder="1" applyAlignment="1">
      <alignment vertical="center"/>
    </xf>
    <xf numFmtId="10" fontId="6" fillId="0" borderId="10" xfId="54" applyNumberFormat="1" applyFont="1" applyBorder="1" applyAlignment="1">
      <alignment vertical="center"/>
    </xf>
    <xf numFmtId="10" fontId="6" fillId="0" borderId="10" xfId="48" applyNumberFormat="1" applyFont="1" applyBorder="1" applyAlignment="1">
      <alignment vertical="center"/>
    </xf>
    <xf numFmtId="0" fontId="0" fillId="37" borderId="10" xfId="0" applyFill="1" applyBorder="1" applyAlignment="1">
      <alignment/>
    </xf>
    <xf numFmtId="44" fontId="6" fillId="37" borderId="10" xfId="44" applyNumberFormat="1" applyFont="1" applyFill="1" applyBorder="1" applyAlignment="1">
      <alignment vertical="center"/>
      <protection/>
    </xf>
    <xf numFmtId="44" fontId="4" fillId="0" borderId="14" xfId="48" applyNumberFormat="1" applyFont="1" applyFill="1" applyBorder="1" applyAlignment="1">
      <alignment horizontal="right" vertical="center"/>
    </xf>
    <xf numFmtId="44" fontId="4" fillId="0" borderId="10" xfId="48" applyNumberFormat="1" applyFont="1" applyFill="1" applyBorder="1" applyAlignment="1">
      <alignment horizontal="right" vertical="center"/>
    </xf>
    <xf numFmtId="44" fontId="4" fillId="0" borderId="11" xfId="48" applyNumberFormat="1" applyFont="1" applyFill="1" applyBorder="1" applyAlignment="1">
      <alignment horizontal="right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1" fontId="12" fillId="33" borderId="30" xfId="0" applyNumberFormat="1" applyFont="1" applyFill="1" applyBorder="1" applyAlignment="1">
      <alignment horizontal="center" vertical="center" wrapText="1"/>
    </xf>
    <xf numFmtId="1" fontId="12" fillId="33" borderId="33" xfId="0" applyNumberFormat="1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/>
    </xf>
    <xf numFmtId="4" fontId="12" fillId="36" borderId="14" xfId="44" applyNumberFormat="1" applyFont="1" applyFill="1" applyBorder="1" applyAlignment="1">
      <alignment horizontal="center" vertical="center" wrapText="1"/>
      <protection/>
    </xf>
    <xf numFmtId="4" fontId="12" fillId="33" borderId="14" xfId="0" applyNumberFormat="1" applyFont="1" applyFill="1" applyBorder="1" applyAlignment="1">
      <alignment horizontal="center" vertical="center" wrapText="1"/>
    </xf>
    <xf numFmtId="4" fontId="12" fillId="33" borderId="14" xfId="0" applyNumberFormat="1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vertical="center"/>
    </xf>
    <xf numFmtId="0" fontId="0" fillId="0" borderId="0" xfId="0" applyAlignment="1">
      <alignment/>
    </xf>
    <xf numFmtId="0" fontId="9" fillId="39" borderId="18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4" fillId="0" borderId="27" xfId="44" applyFont="1" applyFill="1" applyBorder="1" applyAlignment="1">
      <alignment horizontal="left" vertical="center"/>
      <protection/>
    </xf>
    <xf numFmtId="44" fontId="5" fillId="0" borderId="10" xfId="48" applyFont="1" applyFill="1" applyBorder="1" applyAlignment="1">
      <alignment horizontal="right" vertical="center"/>
    </xf>
    <xf numFmtId="9" fontId="10" fillId="39" borderId="19" xfId="54" applyFont="1" applyFill="1" applyBorder="1" applyAlignment="1">
      <alignment horizontal="center" vertical="center" wrapText="1"/>
    </xf>
    <xf numFmtId="9" fontId="10" fillId="39" borderId="16" xfId="54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44" fontId="12" fillId="37" borderId="10" xfId="48" applyFont="1" applyFill="1" applyBorder="1" applyAlignment="1">
      <alignment horizontal="center" vertical="center"/>
    </xf>
    <xf numFmtId="10" fontId="16" fillId="37" borderId="10" xfId="54" applyNumberFormat="1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0" fontId="12" fillId="37" borderId="35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44" fontId="12" fillId="33" borderId="13" xfId="48" applyFont="1" applyFill="1" applyBorder="1" applyAlignment="1">
      <alignment horizontal="center" vertical="center"/>
    </xf>
    <xf numFmtId="44" fontId="12" fillId="33" borderId="12" xfId="48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/>
    </xf>
    <xf numFmtId="0" fontId="12" fillId="37" borderId="36" xfId="0" applyFont="1" applyFill="1" applyBorder="1" applyAlignment="1">
      <alignment horizontal="center" vertical="center"/>
    </xf>
    <xf numFmtId="4" fontId="5" fillId="42" borderId="34" xfId="44" applyNumberFormat="1" applyFont="1" applyFill="1" applyBorder="1" applyAlignment="1">
      <alignment horizontal="center" vertical="center" wrapText="1"/>
      <protection/>
    </xf>
    <xf numFmtId="4" fontId="5" fillId="42" borderId="37" xfId="44" applyNumberFormat="1" applyFont="1" applyFill="1" applyBorder="1" applyAlignment="1">
      <alignment horizontal="center" vertical="center" wrapText="1"/>
      <protection/>
    </xf>
    <xf numFmtId="44" fontId="4" fillId="0" borderId="13" xfId="48" applyFont="1" applyFill="1" applyBorder="1" applyAlignment="1">
      <alignment horizontal="left" vertical="center"/>
    </xf>
    <xf numFmtId="44" fontId="4" fillId="0" borderId="12" xfId="48" applyFont="1" applyFill="1" applyBorder="1" applyAlignment="1">
      <alignment horizontal="left" vertical="center"/>
    </xf>
    <xf numFmtId="14" fontId="4" fillId="0" borderId="13" xfId="48" applyNumberFormat="1" applyFont="1" applyFill="1" applyBorder="1" applyAlignment="1">
      <alignment horizontal="left" vertical="center" wrapText="1"/>
    </xf>
    <xf numFmtId="14" fontId="4" fillId="0" borderId="12" xfId="48" applyNumberFormat="1" applyFont="1" applyFill="1" applyBorder="1" applyAlignment="1">
      <alignment horizontal="left" vertical="center" wrapText="1"/>
    </xf>
    <xf numFmtId="44" fontId="4" fillId="0" borderId="13" xfId="48" applyFont="1" applyFill="1" applyBorder="1" applyAlignment="1">
      <alignment horizontal="left" vertical="center" wrapText="1"/>
    </xf>
    <xf numFmtId="44" fontId="4" fillId="0" borderId="12" xfId="48" applyFont="1" applyFill="1" applyBorder="1" applyAlignment="1">
      <alignment horizontal="left" vertical="center" wrapText="1"/>
    </xf>
    <xf numFmtId="3" fontId="3" fillId="37" borderId="13" xfId="0" applyNumberFormat="1" applyFont="1" applyFill="1" applyBorder="1" applyAlignment="1">
      <alignment horizontal="left" vertical="center"/>
    </xf>
    <xf numFmtId="3" fontId="3" fillId="37" borderId="12" xfId="0" applyNumberFormat="1" applyFont="1" applyFill="1" applyBorder="1" applyAlignment="1">
      <alignment horizontal="left" vertical="center"/>
    </xf>
    <xf numFmtId="44" fontId="5" fillId="37" borderId="13" xfId="48" applyNumberFormat="1" applyFont="1" applyFill="1" applyBorder="1" applyAlignment="1">
      <alignment horizontal="center" vertical="center"/>
    </xf>
    <xf numFmtId="44" fontId="5" fillId="37" borderId="12" xfId="48" applyNumberFormat="1" applyFont="1" applyFill="1" applyBorder="1" applyAlignment="1">
      <alignment horizontal="center" vertical="center"/>
    </xf>
    <xf numFmtId="44" fontId="5" fillId="37" borderId="13" xfId="48" applyFont="1" applyFill="1" applyBorder="1" applyAlignment="1">
      <alignment horizontal="center" vertical="center"/>
    </xf>
    <xf numFmtId="44" fontId="5" fillId="37" borderId="12" xfId="48" applyFont="1" applyFill="1" applyBorder="1" applyAlignment="1">
      <alignment horizontal="center" vertical="center"/>
    </xf>
    <xf numFmtId="14" fontId="4" fillId="0" borderId="13" xfId="48" applyNumberFormat="1" applyFont="1" applyFill="1" applyBorder="1" applyAlignment="1">
      <alignment horizontal="left" vertical="center"/>
    </xf>
    <xf numFmtId="14" fontId="4" fillId="0" borderId="12" xfId="48" applyNumberFormat="1" applyFont="1" applyFill="1" applyBorder="1" applyAlignment="1">
      <alignment horizontal="left" vertical="center"/>
    </xf>
    <xf numFmtId="2" fontId="59" fillId="0" borderId="12" xfId="0" applyNumberFormat="1" applyFont="1" applyBorder="1" applyAlignment="1">
      <alignment horizontal="right" vertical="center"/>
    </xf>
    <xf numFmtId="1" fontId="59" fillId="0" borderId="12" xfId="0" applyNumberFormat="1" applyFont="1" applyBorder="1" applyAlignment="1">
      <alignment horizontal="right" vertical="center"/>
    </xf>
    <xf numFmtId="1" fontId="16" fillId="0" borderId="12" xfId="48" applyNumberFormat="1" applyFont="1" applyFill="1" applyBorder="1" applyAlignment="1">
      <alignment horizontal="right" vertical="center"/>
    </xf>
    <xf numFmtId="2" fontId="16" fillId="0" borderId="12" xfId="48" applyNumberFormat="1" applyFont="1" applyFill="1" applyBorder="1" applyAlignment="1">
      <alignment horizontal="right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4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3_PEDRO BOÉSSIO ORÇAMENTO - CAIXA - REV 01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ntato@ipmate.com.br" TargetMode="External" /><Relationship Id="rId2" Type="http://schemas.openxmlformats.org/officeDocument/2006/relationships/hyperlink" Target="mailto:moreira@brukesa.com" TargetMode="External" /><Relationship Id="rId3" Type="http://schemas.openxmlformats.org/officeDocument/2006/relationships/hyperlink" Target="mailto:suporte@concretus.com.br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zoomScale="70" zoomScaleNormal="70" workbookViewId="0" topLeftCell="A1">
      <selection activeCell="G30" sqref="G30"/>
    </sheetView>
  </sheetViews>
  <sheetFormatPr defaultColWidth="9.140625" defaultRowHeight="15"/>
  <cols>
    <col min="1" max="1" width="8.00390625" style="2" customWidth="1"/>
    <col min="2" max="2" width="16.421875" style="2" customWidth="1"/>
    <col min="3" max="3" width="11.00390625" style="2" customWidth="1"/>
    <col min="4" max="4" width="61.57421875" style="2" customWidth="1"/>
    <col min="5" max="5" width="15.7109375" style="2" customWidth="1"/>
    <col min="6" max="6" width="8.421875" style="2" customWidth="1"/>
    <col min="7" max="7" width="17.140625" style="2" customWidth="1"/>
    <col min="8" max="8" width="9.140625" style="2" customWidth="1"/>
    <col min="9" max="9" width="18.28125" style="2" customWidth="1"/>
    <col min="10" max="10" width="19.140625" style="2" customWidth="1"/>
    <col min="11" max="11" width="16.57421875" style="2" bestFit="1" customWidth="1"/>
    <col min="12" max="16384" width="9.140625" style="2" customWidth="1"/>
  </cols>
  <sheetData>
    <row r="1" spans="1:10" s="34" customFormat="1" ht="21" thickBot="1">
      <c r="A1" s="33"/>
      <c r="B1" s="33"/>
      <c r="C1" s="33"/>
      <c r="D1" s="225" t="s">
        <v>37</v>
      </c>
      <c r="E1" s="216"/>
      <c r="F1" s="216"/>
      <c r="G1" s="216"/>
      <c r="H1" s="216"/>
      <c r="I1" s="216"/>
      <c r="J1" s="216"/>
    </row>
    <row r="2" spans="1:10" s="34" customFormat="1" ht="18.75">
      <c r="A2" s="35"/>
      <c r="B2" s="36"/>
      <c r="C2" s="36"/>
      <c r="D2" s="65" t="s">
        <v>162</v>
      </c>
      <c r="E2" s="217"/>
      <c r="F2" s="217"/>
      <c r="G2" s="217"/>
      <c r="H2" s="217"/>
      <c r="I2" s="217"/>
      <c r="J2" s="218"/>
    </row>
    <row r="3" spans="1:10" s="34" customFormat="1" ht="15">
      <c r="A3" s="37"/>
      <c r="B3" s="38"/>
      <c r="C3" s="194" t="s">
        <v>173</v>
      </c>
      <c r="D3" s="39"/>
      <c r="E3" s="212"/>
      <c r="F3" s="212"/>
      <c r="G3" s="212"/>
      <c r="H3" s="212"/>
      <c r="I3" s="212"/>
      <c r="J3" s="213"/>
    </row>
    <row r="4" spans="1:10" s="34" customFormat="1" ht="15">
      <c r="A4" s="37"/>
      <c r="B4" s="38"/>
      <c r="C4" s="195" t="s">
        <v>174</v>
      </c>
      <c r="D4" s="41"/>
      <c r="E4" s="219"/>
      <c r="F4" s="214"/>
      <c r="G4" s="219"/>
      <c r="H4" s="215"/>
      <c r="I4" s="212"/>
      <c r="J4" s="213"/>
    </row>
    <row r="5" spans="1:10" s="34" customFormat="1" ht="14.25">
      <c r="A5" s="37"/>
      <c r="B5" s="38"/>
      <c r="C5" s="38"/>
      <c r="D5" s="38"/>
      <c r="E5" s="212"/>
      <c r="F5" s="215"/>
      <c r="G5" s="212"/>
      <c r="H5" s="215"/>
      <c r="I5" s="212"/>
      <c r="J5" s="213"/>
    </row>
    <row r="6" spans="1:10" s="34" customFormat="1" ht="18">
      <c r="A6" s="37"/>
      <c r="B6" s="43"/>
      <c r="C6" s="43"/>
      <c r="D6" s="44" t="s">
        <v>0</v>
      </c>
      <c r="E6" s="220"/>
      <c r="F6" s="220"/>
      <c r="G6" s="220"/>
      <c r="H6" s="220"/>
      <c r="I6" s="220"/>
      <c r="J6" s="221"/>
    </row>
    <row r="7" spans="1:10" s="174" customFormat="1" ht="18.75" thickBot="1">
      <c r="A7" s="172"/>
      <c r="B7" s="173"/>
      <c r="C7" s="173"/>
      <c r="D7" s="173"/>
      <c r="E7" s="222"/>
      <c r="F7" s="223"/>
      <c r="G7" s="222"/>
      <c r="H7" s="223"/>
      <c r="I7" s="222"/>
      <c r="J7" s="224"/>
    </row>
    <row r="8" spans="1:10" s="49" customFormat="1" ht="15" customHeight="1">
      <c r="A8" s="246" t="s">
        <v>1</v>
      </c>
      <c r="B8" s="248" t="s">
        <v>38</v>
      </c>
      <c r="C8" s="249" t="s">
        <v>39</v>
      </c>
      <c r="D8" s="250" t="s">
        <v>2</v>
      </c>
      <c r="E8" s="254" t="s">
        <v>97</v>
      </c>
      <c r="F8" s="247" t="s">
        <v>3</v>
      </c>
      <c r="G8" s="251" t="s">
        <v>25</v>
      </c>
      <c r="H8" s="252" t="s">
        <v>26</v>
      </c>
      <c r="I8" s="252" t="s">
        <v>16</v>
      </c>
      <c r="J8" s="253" t="s">
        <v>5</v>
      </c>
    </row>
    <row r="9" spans="1:10" s="51" customFormat="1" ht="15.75">
      <c r="A9" s="139">
        <v>1</v>
      </c>
      <c r="B9" s="140"/>
      <c r="C9" s="141"/>
      <c r="D9" s="50" t="s">
        <v>121</v>
      </c>
      <c r="E9" s="143"/>
      <c r="F9" s="142"/>
      <c r="G9" s="144"/>
      <c r="H9" s="145"/>
      <c r="I9" s="176"/>
      <c r="J9" s="177"/>
    </row>
    <row r="10" spans="1:10" s="51" customFormat="1" ht="15.75">
      <c r="A10" s="178" t="s">
        <v>6</v>
      </c>
      <c r="B10" s="179"/>
      <c r="C10" s="180"/>
      <c r="D10" s="181" t="s">
        <v>87</v>
      </c>
      <c r="E10" s="183"/>
      <c r="F10" s="182"/>
      <c r="G10" s="184"/>
      <c r="H10" s="185"/>
      <c r="I10" s="186"/>
      <c r="J10" s="187"/>
    </row>
    <row r="11" spans="1:10" s="49" customFormat="1" ht="15">
      <c r="A11" s="146" t="s">
        <v>123</v>
      </c>
      <c r="B11" s="147" t="s">
        <v>15</v>
      </c>
      <c r="C11" s="148" t="s">
        <v>114</v>
      </c>
      <c r="D11" s="53" t="s">
        <v>99</v>
      </c>
      <c r="E11" s="156">
        <v>1</v>
      </c>
      <c r="F11" s="52" t="s">
        <v>7</v>
      </c>
      <c r="G11" s="149">
        <f>cotacao!L14</f>
        <v>6112.52</v>
      </c>
      <c r="H11" s="150">
        <v>0.1538</v>
      </c>
      <c r="I11" s="151">
        <f aca="true" t="shared" si="0" ref="I11:I18">TRUNC(G11*(1+H11),2)</f>
        <v>7052.62</v>
      </c>
      <c r="J11" s="152">
        <f aca="true" t="shared" si="1" ref="J11:J18">TRUNC(E11*I11,2)</f>
        <v>7052.62</v>
      </c>
    </row>
    <row r="12" spans="1:10" s="49" customFormat="1" ht="15">
      <c r="A12" s="146" t="s">
        <v>124</v>
      </c>
      <c r="B12" s="147" t="s">
        <v>15</v>
      </c>
      <c r="C12" s="148" t="s">
        <v>115</v>
      </c>
      <c r="D12" s="53" t="s">
        <v>43</v>
      </c>
      <c r="E12" s="52">
        <v>20</v>
      </c>
      <c r="F12" s="52" t="s">
        <v>7</v>
      </c>
      <c r="G12" s="149">
        <f>cotacao!L15</f>
        <v>101.88</v>
      </c>
      <c r="H12" s="150">
        <v>0.1538</v>
      </c>
      <c r="I12" s="151">
        <f t="shared" si="0"/>
        <v>117.54</v>
      </c>
      <c r="J12" s="152">
        <f t="shared" si="1"/>
        <v>2350.8</v>
      </c>
    </row>
    <row r="13" spans="1:10" s="49" customFormat="1" ht="15">
      <c r="A13" s="146" t="s">
        <v>125</v>
      </c>
      <c r="B13" s="147" t="s">
        <v>15</v>
      </c>
      <c r="C13" s="148" t="s">
        <v>109</v>
      </c>
      <c r="D13" s="53" t="s">
        <v>110</v>
      </c>
      <c r="E13" s="52">
        <v>6</v>
      </c>
      <c r="F13" s="52" t="s">
        <v>7</v>
      </c>
      <c r="G13" s="149">
        <f>cotacao!L16</f>
        <v>152.81</v>
      </c>
      <c r="H13" s="150">
        <v>0.1538</v>
      </c>
      <c r="I13" s="151">
        <f>TRUNC(G13*(1+H13),2)</f>
        <v>176.31</v>
      </c>
      <c r="J13" s="152">
        <f t="shared" si="1"/>
        <v>1057.86</v>
      </c>
    </row>
    <row r="14" spans="1:10" s="49" customFormat="1" ht="15">
      <c r="A14" s="146" t="s">
        <v>126</v>
      </c>
      <c r="B14" s="147" t="s">
        <v>15</v>
      </c>
      <c r="C14" s="148" t="s">
        <v>111</v>
      </c>
      <c r="D14" s="53" t="s">
        <v>44</v>
      </c>
      <c r="E14" s="132">
        <v>8</v>
      </c>
      <c r="F14" s="52" t="s">
        <v>7</v>
      </c>
      <c r="G14" s="149">
        <f>cotacao!L17</f>
        <v>101.88</v>
      </c>
      <c r="H14" s="150">
        <v>0.1538</v>
      </c>
      <c r="I14" s="151">
        <f>TRUNC(G14*(1+H14),2)</f>
        <v>117.54</v>
      </c>
      <c r="J14" s="152">
        <f t="shared" si="1"/>
        <v>940.32</v>
      </c>
    </row>
    <row r="15" spans="1:10" s="49" customFormat="1" ht="15">
      <c r="A15" s="146" t="s">
        <v>127</v>
      </c>
      <c r="B15" s="147" t="s">
        <v>15</v>
      </c>
      <c r="C15" s="148" t="s">
        <v>112</v>
      </c>
      <c r="D15" s="53" t="s">
        <v>45</v>
      </c>
      <c r="E15" s="52">
        <v>4</v>
      </c>
      <c r="F15" s="52" t="s">
        <v>7</v>
      </c>
      <c r="G15" s="149">
        <f>cotacao!L18</f>
        <v>203.75</v>
      </c>
      <c r="H15" s="150">
        <v>0.1538</v>
      </c>
      <c r="I15" s="151">
        <f>TRUNC(G15*(1+H15),2)</f>
        <v>235.08</v>
      </c>
      <c r="J15" s="152">
        <f t="shared" si="1"/>
        <v>940.32</v>
      </c>
    </row>
    <row r="16" spans="1:10" s="49" customFormat="1" ht="15">
      <c r="A16" s="146" t="s">
        <v>128</v>
      </c>
      <c r="B16" s="147" t="s">
        <v>15</v>
      </c>
      <c r="C16" s="148" t="s">
        <v>113</v>
      </c>
      <c r="D16" s="53" t="s">
        <v>46</v>
      </c>
      <c r="E16" s="52">
        <v>4</v>
      </c>
      <c r="F16" s="52" t="s">
        <v>7</v>
      </c>
      <c r="G16" s="149">
        <f>cotacao!L19</f>
        <v>254.69</v>
      </c>
      <c r="H16" s="150">
        <v>0.1538</v>
      </c>
      <c r="I16" s="151">
        <f>TRUNC(G16*(1+H16),2)</f>
        <v>293.86</v>
      </c>
      <c r="J16" s="152">
        <f t="shared" si="1"/>
        <v>1175.44</v>
      </c>
    </row>
    <row r="17" spans="1:10" s="49" customFormat="1" ht="15">
      <c r="A17" s="146" t="s">
        <v>129</v>
      </c>
      <c r="B17" s="147" t="s">
        <v>15</v>
      </c>
      <c r="C17" s="148" t="s">
        <v>116</v>
      </c>
      <c r="D17" s="53" t="s">
        <v>47</v>
      </c>
      <c r="E17" s="52">
        <v>4</v>
      </c>
      <c r="F17" s="52" t="s">
        <v>7</v>
      </c>
      <c r="G17" s="149">
        <f>cotacao!L20</f>
        <v>264.88</v>
      </c>
      <c r="H17" s="150">
        <v>0.1538</v>
      </c>
      <c r="I17" s="151">
        <f t="shared" si="0"/>
        <v>305.61</v>
      </c>
      <c r="J17" s="152">
        <f t="shared" si="1"/>
        <v>1222.44</v>
      </c>
    </row>
    <row r="18" spans="1:10" s="49" customFormat="1" ht="30">
      <c r="A18" s="146" t="s">
        <v>130</v>
      </c>
      <c r="B18" s="147" t="s">
        <v>15</v>
      </c>
      <c r="C18" s="148" t="s">
        <v>117</v>
      </c>
      <c r="D18" s="53" t="s">
        <v>100</v>
      </c>
      <c r="E18" s="52">
        <v>6</v>
      </c>
      <c r="F18" s="52" t="s">
        <v>7</v>
      </c>
      <c r="G18" s="149">
        <f>cotacao!L21</f>
        <v>254.69</v>
      </c>
      <c r="H18" s="150">
        <v>0.1538</v>
      </c>
      <c r="I18" s="151">
        <f t="shared" si="0"/>
        <v>293.86</v>
      </c>
      <c r="J18" s="152">
        <f t="shared" si="1"/>
        <v>1763.16</v>
      </c>
    </row>
    <row r="19" spans="1:10" s="51" customFormat="1" ht="15.75">
      <c r="A19" s="178" t="s">
        <v>88</v>
      </c>
      <c r="B19" s="179"/>
      <c r="C19" s="180"/>
      <c r="D19" s="181" t="s">
        <v>95</v>
      </c>
      <c r="E19" s="183"/>
      <c r="F19" s="182"/>
      <c r="G19" s="184"/>
      <c r="H19" s="185"/>
      <c r="I19" s="186"/>
      <c r="J19" s="187"/>
    </row>
    <row r="20" spans="1:10" s="190" customFormat="1" ht="15">
      <c r="A20" s="146" t="s">
        <v>131</v>
      </c>
      <c r="B20" s="179" t="s">
        <v>40</v>
      </c>
      <c r="C20" s="180" t="s">
        <v>33</v>
      </c>
      <c r="D20" s="53" t="s">
        <v>108</v>
      </c>
      <c r="E20" s="132">
        <v>1</v>
      </c>
      <c r="F20" s="132" t="s">
        <v>7</v>
      </c>
      <c r="G20" s="153">
        <f>composicao!I10</f>
        <v>5643.86</v>
      </c>
      <c r="H20" s="188">
        <v>0.1538</v>
      </c>
      <c r="I20" s="189">
        <f>TRUNC(G20*(1+H20),2)</f>
        <v>6511.88</v>
      </c>
      <c r="J20" s="189">
        <f>TRUNC(E20*I20,2)</f>
        <v>6511.88</v>
      </c>
    </row>
    <row r="21" spans="1:10" s="190" customFormat="1" ht="15">
      <c r="A21" s="146" t="s">
        <v>132</v>
      </c>
      <c r="B21" s="179" t="s">
        <v>40</v>
      </c>
      <c r="C21" s="180" t="s">
        <v>35</v>
      </c>
      <c r="D21" s="53" t="s">
        <v>107</v>
      </c>
      <c r="E21" s="132">
        <v>1</v>
      </c>
      <c r="F21" s="132" t="s">
        <v>7</v>
      </c>
      <c r="G21" s="153">
        <f>composicao!I32</f>
        <v>7824.33</v>
      </c>
      <c r="H21" s="188">
        <v>0.1538</v>
      </c>
      <c r="I21" s="189">
        <f>TRUNC(G21*(1+H21),2)</f>
        <v>9027.71</v>
      </c>
      <c r="J21" s="189">
        <f>TRUNC(E21*I21,2)</f>
        <v>9027.71</v>
      </c>
    </row>
    <row r="22" spans="1:10" s="51" customFormat="1" ht="15.75">
      <c r="A22" s="178" t="s">
        <v>89</v>
      </c>
      <c r="B22" s="179"/>
      <c r="C22" s="180"/>
      <c r="D22" s="181" t="s">
        <v>135</v>
      </c>
      <c r="E22" s="183"/>
      <c r="F22" s="182"/>
      <c r="G22" s="184"/>
      <c r="H22" s="185"/>
      <c r="I22" s="186"/>
      <c r="J22" s="187"/>
    </row>
    <row r="23" spans="1:10" s="49" customFormat="1" ht="15">
      <c r="A23" s="146" t="s">
        <v>133</v>
      </c>
      <c r="B23" s="147" t="s">
        <v>40</v>
      </c>
      <c r="C23" s="148" t="s">
        <v>122</v>
      </c>
      <c r="D23" s="53" t="s">
        <v>106</v>
      </c>
      <c r="E23" s="52">
        <v>1</v>
      </c>
      <c r="F23" s="52" t="s">
        <v>7</v>
      </c>
      <c r="G23" s="149">
        <f>composicao!I46</f>
        <v>6853.3</v>
      </c>
      <c r="H23" s="150">
        <v>0.1538</v>
      </c>
      <c r="I23" s="151">
        <f>TRUNC(G23*(1+H23),2)</f>
        <v>7907.33</v>
      </c>
      <c r="J23" s="152">
        <f>TRUNC(E23*I23,2)</f>
        <v>7907.33</v>
      </c>
    </row>
    <row r="24" spans="1:10" s="51" customFormat="1" ht="15.75">
      <c r="A24" s="178" t="s">
        <v>90</v>
      </c>
      <c r="B24" s="179"/>
      <c r="C24" s="180"/>
      <c r="D24" s="181" t="s">
        <v>105</v>
      </c>
      <c r="E24" s="183"/>
      <c r="F24" s="182"/>
      <c r="G24" s="184"/>
      <c r="H24" s="185"/>
      <c r="I24" s="186"/>
      <c r="J24" s="187"/>
    </row>
    <row r="25" spans="1:10" s="49" customFormat="1" ht="30">
      <c r="A25" s="146" t="s">
        <v>134</v>
      </c>
      <c r="B25" s="147" t="s">
        <v>40</v>
      </c>
      <c r="C25" s="148" t="s">
        <v>184</v>
      </c>
      <c r="D25" s="53" t="s">
        <v>175</v>
      </c>
      <c r="E25" s="52">
        <v>3</v>
      </c>
      <c r="F25" s="52" t="s">
        <v>185</v>
      </c>
      <c r="G25" s="153">
        <f>composicao!I58</f>
        <v>5735.78</v>
      </c>
      <c r="H25" s="150">
        <v>0.1538</v>
      </c>
      <c r="I25" s="151">
        <f>TRUNC(G25*(1+H25),2)</f>
        <v>6617.94</v>
      </c>
      <c r="J25" s="152">
        <f>TRUNC(E25*I25,2)</f>
        <v>19853.82</v>
      </c>
    </row>
    <row r="26" spans="1:11" s="58" customFormat="1" ht="15.75">
      <c r="A26" s="54"/>
      <c r="B26" s="13"/>
      <c r="C26" s="13"/>
      <c r="D26" s="51"/>
      <c r="E26" s="55"/>
      <c r="F26" s="56"/>
      <c r="G26" s="57"/>
      <c r="I26" s="154" t="s">
        <v>9</v>
      </c>
      <c r="J26" s="155">
        <f>SUM(J10:J25)</f>
        <v>59803.700000000004</v>
      </c>
      <c r="K26" s="175"/>
    </row>
    <row r="27" spans="1:9" ht="14.25">
      <c r="A27" s="3"/>
      <c r="B27" s="2" t="s">
        <v>12</v>
      </c>
      <c r="F27" s="8"/>
      <c r="G27" s="8"/>
      <c r="H27" s="8"/>
      <c r="I27" s="9"/>
    </row>
    <row r="28" spans="1:9" ht="15">
      <c r="A28" s="3"/>
      <c r="B28" s="136" t="s">
        <v>74</v>
      </c>
      <c r="C28" s="59"/>
      <c r="D28" s="133"/>
      <c r="E28" s="191"/>
      <c r="G28" s="30"/>
      <c r="H28" s="29"/>
      <c r="I28" s="9"/>
    </row>
    <row r="29" spans="1:9" ht="14.25">
      <c r="A29" s="10"/>
      <c r="B29" s="137" t="s">
        <v>14</v>
      </c>
      <c r="C29" s="11"/>
      <c r="D29" s="134"/>
      <c r="E29" s="192"/>
      <c r="G29" s="12"/>
      <c r="I29" s="56" t="s">
        <v>181</v>
      </c>
    </row>
    <row r="30" spans="1:9" ht="14.25">
      <c r="A30" s="10"/>
      <c r="B30" s="138" t="s">
        <v>177</v>
      </c>
      <c r="C30" s="10"/>
      <c r="D30" s="134"/>
      <c r="E30" s="192"/>
      <c r="G30" s="12"/>
      <c r="I30" s="56" t="s">
        <v>41</v>
      </c>
    </row>
    <row r="31" spans="1:9" ht="14.25">
      <c r="A31" s="10"/>
      <c r="B31" s="138" t="s">
        <v>178</v>
      </c>
      <c r="C31" s="260"/>
      <c r="D31" s="261"/>
      <c r="E31" s="226">
        <f>251.964/227.136-1</f>
        <v>0.10930896027049886</v>
      </c>
      <c r="G31" s="12"/>
      <c r="I31" s="56" t="s">
        <v>42</v>
      </c>
    </row>
    <row r="32" spans="1:9" ht="14.25">
      <c r="A32" s="10"/>
      <c r="B32" s="137" t="s">
        <v>179</v>
      </c>
      <c r="C32" s="260"/>
      <c r="D32" s="261"/>
      <c r="E32" s="226">
        <f>251.964/242.103-1</f>
        <v>0.04073059813385216</v>
      </c>
      <c r="G32" s="12"/>
      <c r="I32" s="56"/>
    </row>
    <row r="33" spans="1:9" ht="14.25">
      <c r="A33" s="10"/>
      <c r="B33" s="137" t="s">
        <v>180</v>
      </c>
      <c r="C33" s="134"/>
      <c r="D33" s="134"/>
      <c r="E33" s="226">
        <f>251.964/247.326-1</f>
        <v>0.01875257756968529</v>
      </c>
      <c r="G33" s="12"/>
      <c r="I33" s="56"/>
    </row>
    <row r="34" spans="1:9" ht="14.25">
      <c r="A34" s="10"/>
      <c r="B34" s="138" t="s">
        <v>183</v>
      </c>
      <c r="C34" s="11"/>
      <c r="D34" s="134"/>
      <c r="E34" s="226">
        <f>251.964/247.326-1</f>
        <v>0.01875257756968529</v>
      </c>
      <c r="G34" s="12"/>
      <c r="I34" s="9"/>
    </row>
    <row r="35" spans="1:9" ht="14.25">
      <c r="A35" s="10"/>
      <c r="B35" s="262" t="s">
        <v>96</v>
      </c>
      <c r="C35" s="31"/>
      <c r="D35" s="135"/>
      <c r="E35" s="193"/>
      <c r="G35" s="12"/>
      <c r="I35" s="56"/>
    </row>
    <row r="36" spans="1:9" ht="14.25">
      <c r="A36" s="10"/>
      <c r="B36" s="11"/>
      <c r="F36" s="32"/>
      <c r="G36" s="12"/>
      <c r="I36" s="9"/>
    </row>
    <row r="37" spans="1:9" ht="14.25">
      <c r="A37" s="10"/>
      <c r="B37" s="11"/>
      <c r="D37" s="11"/>
      <c r="E37" s="12"/>
      <c r="F37" s="12"/>
      <c r="G37" s="12"/>
      <c r="I37" s="9"/>
    </row>
    <row r="38" spans="1:9" ht="14.25">
      <c r="A38" s="10"/>
      <c r="B38" s="11"/>
      <c r="D38" s="11"/>
      <c r="E38" s="12"/>
      <c r="F38" s="12"/>
      <c r="G38" s="12"/>
      <c r="I38" s="9"/>
    </row>
    <row r="39" spans="1:9" ht="14.25">
      <c r="A39" s="10"/>
      <c r="B39" s="11"/>
      <c r="D39" s="11"/>
      <c r="E39" s="12"/>
      <c r="F39" s="12"/>
      <c r="G39" s="12"/>
      <c r="I39" s="9"/>
    </row>
    <row r="40" spans="1:9" ht="14.25">
      <c r="A40" s="10"/>
      <c r="B40" s="11"/>
      <c r="D40" s="11"/>
      <c r="E40" s="12"/>
      <c r="F40" s="12"/>
      <c r="G40" s="12"/>
      <c r="I40" s="9"/>
    </row>
    <row r="41" spans="1:9" ht="14.25">
      <c r="A41" s="10"/>
      <c r="B41" s="11"/>
      <c r="D41" s="11"/>
      <c r="E41" s="12"/>
      <c r="F41" s="12"/>
      <c r="G41" s="12"/>
      <c r="H41" s="12"/>
      <c r="I41" s="9"/>
    </row>
    <row r="42" spans="1:9" ht="14.25">
      <c r="A42" s="10"/>
      <c r="B42" s="11"/>
      <c r="D42" s="11"/>
      <c r="E42" s="12"/>
      <c r="F42" s="12"/>
      <c r="G42" s="12"/>
      <c r="H42" s="12"/>
      <c r="I42" s="9"/>
    </row>
  </sheetData>
  <sheetProtection/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50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zoomScale="70" zoomScaleNormal="70" workbookViewId="0" topLeftCell="A1">
      <selection activeCell="B69" sqref="B69"/>
    </sheetView>
  </sheetViews>
  <sheetFormatPr defaultColWidth="9.140625" defaultRowHeight="15"/>
  <cols>
    <col min="1" max="1" width="11.7109375" style="2" customWidth="1"/>
    <col min="2" max="2" width="78.7109375" style="2" customWidth="1"/>
    <col min="3" max="3" width="12.140625" style="2" customWidth="1"/>
    <col min="4" max="4" width="11.57421875" style="2" customWidth="1"/>
    <col min="5" max="5" width="24.28125" style="2" customWidth="1"/>
    <col min="6" max="6" width="17.28125" style="2" customWidth="1"/>
    <col min="7" max="7" width="20.00390625" style="2" customWidth="1"/>
    <col min="8" max="8" width="12.7109375" style="2" customWidth="1"/>
    <col min="9" max="9" width="21.00390625" style="2" customWidth="1"/>
    <col min="10" max="16384" width="9.140625" style="2" customWidth="1"/>
  </cols>
  <sheetData>
    <row r="1" spans="1:9" ht="21" thickBot="1">
      <c r="A1" s="60"/>
      <c r="B1" s="60"/>
      <c r="C1" s="62" t="s">
        <v>37</v>
      </c>
      <c r="D1" s="61"/>
      <c r="E1" s="61"/>
      <c r="F1" s="60"/>
      <c r="G1" s="63"/>
      <c r="H1" s="34"/>
      <c r="I1" s="63"/>
    </row>
    <row r="2" spans="1:9" ht="18.75">
      <c r="A2" s="64"/>
      <c r="B2" s="65"/>
      <c r="C2" s="65" t="s">
        <v>162</v>
      </c>
      <c r="F2" s="65"/>
      <c r="G2" s="66"/>
      <c r="H2" s="67"/>
      <c r="I2" s="68"/>
    </row>
    <row r="3" spans="1:9" ht="15">
      <c r="A3" s="37"/>
      <c r="B3" s="194" t="s">
        <v>173</v>
      </c>
      <c r="C3" s="38"/>
      <c r="D3" s="38"/>
      <c r="E3" s="38"/>
      <c r="F3" s="38"/>
      <c r="G3" s="38"/>
      <c r="H3" s="38"/>
      <c r="I3" s="69"/>
    </row>
    <row r="4" spans="1:9" ht="15">
      <c r="A4" s="37"/>
      <c r="B4" s="195" t="s">
        <v>174</v>
      </c>
      <c r="F4" s="42"/>
      <c r="G4" s="41"/>
      <c r="H4" s="38"/>
      <c r="I4" s="69"/>
    </row>
    <row r="5" spans="1:9" ht="15">
      <c r="A5" s="37"/>
      <c r="B5" s="38"/>
      <c r="C5" s="39"/>
      <c r="D5" s="39"/>
      <c r="E5" s="39"/>
      <c r="F5" s="39"/>
      <c r="G5" s="39"/>
      <c r="H5" s="38"/>
      <c r="I5" s="69"/>
    </row>
    <row r="6" spans="1:9" ht="18">
      <c r="A6" s="70"/>
      <c r="B6" s="44"/>
      <c r="C6" s="44" t="s">
        <v>49</v>
      </c>
      <c r="F6" s="44"/>
      <c r="G6" s="71"/>
      <c r="H6" s="44"/>
      <c r="I6" s="72"/>
    </row>
    <row r="7" spans="1:9" ht="18.75" thickBot="1">
      <c r="A7" s="45"/>
      <c r="B7" s="46"/>
      <c r="C7" s="46"/>
      <c r="D7" s="46"/>
      <c r="E7" s="47"/>
      <c r="F7" s="46"/>
      <c r="G7" s="47"/>
      <c r="H7" s="46"/>
      <c r="I7" s="73"/>
    </row>
    <row r="8" spans="6:8" s="74" customFormat="1" ht="15">
      <c r="F8" s="2"/>
      <c r="G8" s="75"/>
      <c r="H8" s="75"/>
    </row>
    <row r="9" spans="1:9" ht="15">
      <c r="A9" s="76" t="s">
        <v>27</v>
      </c>
      <c r="B9" s="76" t="s">
        <v>28</v>
      </c>
      <c r="C9" s="77"/>
      <c r="D9" s="77"/>
      <c r="E9" s="77"/>
      <c r="F9" s="77"/>
      <c r="G9" s="78"/>
      <c r="H9" s="79" t="s">
        <v>29</v>
      </c>
      <c r="I9" s="79" t="s">
        <v>50</v>
      </c>
    </row>
    <row r="10" spans="1:9" ht="15">
      <c r="A10" s="80" t="s">
        <v>33</v>
      </c>
      <c r="B10" s="81" t="s">
        <v>108</v>
      </c>
      <c r="C10" s="82"/>
      <c r="D10" s="82"/>
      <c r="E10" s="82"/>
      <c r="F10" s="82"/>
      <c r="G10" s="83"/>
      <c r="H10" s="84" t="s">
        <v>7</v>
      </c>
      <c r="I10" s="85">
        <f>TRUNC(SUM(I12:I28),2)</f>
        <v>5643.86</v>
      </c>
    </row>
    <row r="11" spans="1:9" ht="30">
      <c r="A11" s="86" t="s">
        <v>1</v>
      </c>
      <c r="B11" s="87" t="s">
        <v>2</v>
      </c>
      <c r="C11" s="87" t="s">
        <v>29</v>
      </c>
      <c r="D11" s="88" t="s">
        <v>30</v>
      </c>
      <c r="E11" s="89" t="s">
        <v>31</v>
      </c>
      <c r="F11" s="90" t="s">
        <v>25</v>
      </c>
      <c r="G11" s="91" t="s">
        <v>31</v>
      </c>
      <c r="H11" s="92"/>
      <c r="I11" s="88" t="s">
        <v>51</v>
      </c>
    </row>
    <row r="12" spans="1:9" ht="28.5">
      <c r="A12" s="93">
        <v>1</v>
      </c>
      <c r="B12" s="94" t="s">
        <v>75</v>
      </c>
      <c r="C12" s="93" t="s">
        <v>52</v>
      </c>
      <c r="D12" s="116">
        <f>ROUND((D14+D15+D20+D21+D22)*0.05,4)</f>
        <v>3.9</v>
      </c>
      <c r="E12" s="130">
        <v>0.05</v>
      </c>
      <c r="F12" s="228">
        <v>147.75</v>
      </c>
      <c r="G12" s="97" t="s">
        <v>53</v>
      </c>
      <c r="H12" s="98">
        <v>90779</v>
      </c>
      <c r="I12" s="211">
        <f>TRUNC(D12*F12,4)</f>
        <v>576.225</v>
      </c>
    </row>
    <row r="13" spans="1:9" ht="15">
      <c r="A13" s="100"/>
      <c r="B13" s="94" t="s">
        <v>145</v>
      </c>
      <c r="C13" s="206"/>
      <c r="D13" s="207"/>
      <c r="E13" s="208"/>
      <c r="F13" s="209"/>
      <c r="G13" s="208"/>
      <c r="H13" s="210"/>
      <c r="I13" s="158"/>
    </row>
    <row r="14" spans="1:9" ht="15">
      <c r="A14" s="100" t="s">
        <v>8</v>
      </c>
      <c r="B14" s="94" t="s">
        <v>139</v>
      </c>
      <c r="C14" s="100" t="s">
        <v>52</v>
      </c>
      <c r="D14" s="116">
        <v>12</v>
      </c>
      <c r="E14" s="95"/>
      <c r="F14" s="211">
        <v>13.69</v>
      </c>
      <c r="G14" s="103" t="s">
        <v>140</v>
      </c>
      <c r="H14" s="102">
        <v>88253</v>
      </c>
      <c r="I14" s="211">
        <f>TRUNC(D14*F14,4)</f>
        <v>164.28</v>
      </c>
    </row>
    <row r="15" spans="1:9" ht="15">
      <c r="A15" s="100" t="s">
        <v>48</v>
      </c>
      <c r="B15" s="94" t="s">
        <v>146</v>
      </c>
      <c r="C15" s="100" t="s">
        <v>52</v>
      </c>
      <c r="D15" s="116">
        <v>12</v>
      </c>
      <c r="E15" s="95"/>
      <c r="F15" s="211">
        <v>31.8</v>
      </c>
      <c r="G15" s="103" t="s">
        <v>140</v>
      </c>
      <c r="H15" s="102">
        <v>90781</v>
      </c>
      <c r="I15" s="211">
        <f>TRUNC(D15*F15,4)</f>
        <v>381.6</v>
      </c>
    </row>
    <row r="16" spans="1:9" ht="28.5">
      <c r="A16" s="100" t="s">
        <v>24</v>
      </c>
      <c r="B16" s="94" t="s">
        <v>141</v>
      </c>
      <c r="C16" s="100" t="s">
        <v>71</v>
      </c>
      <c r="D16" s="116">
        <v>2</v>
      </c>
      <c r="E16" s="95"/>
      <c r="F16" s="211">
        <v>70.31</v>
      </c>
      <c r="G16" s="103" t="s">
        <v>140</v>
      </c>
      <c r="H16" s="102">
        <v>92145</v>
      </c>
      <c r="I16" s="211">
        <f>TRUNC(D16*F16,4)</f>
        <v>140.62</v>
      </c>
    </row>
    <row r="17" spans="1:9" ht="28.5">
      <c r="A17" s="100" t="s">
        <v>70</v>
      </c>
      <c r="B17" s="94" t="s">
        <v>141</v>
      </c>
      <c r="C17" s="100" t="s">
        <v>142</v>
      </c>
      <c r="D17" s="116">
        <v>6</v>
      </c>
      <c r="E17" s="95"/>
      <c r="F17" s="211">
        <v>25.44</v>
      </c>
      <c r="G17" s="103" t="s">
        <v>140</v>
      </c>
      <c r="H17" s="102">
        <v>92146</v>
      </c>
      <c r="I17" s="211">
        <f>TRUNC(D17*F17,4)</f>
        <v>152.64</v>
      </c>
    </row>
    <row r="18" spans="1:9" ht="28.5">
      <c r="A18" s="100">
        <v>4</v>
      </c>
      <c r="B18" s="94" t="s">
        <v>102</v>
      </c>
      <c r="C18" s="100" t="s">
        <v>56</v>
      </c>
      <c r="D18" s="116">
        <f>ROUND((D15)/176,4)</f>
        <v>0.0682</v>
      </c>
      <c r="E18" s="95"/>
      <c r="F18" s="211">
        <f>TRUNC(899.9*(1+orcamento!$E$31),4)</f>
        <v>998.2671</v>
      </c>
      <c r="G18" s="105" t="s">
        <v>57</v>
      </c>
      <c r="H18" s="102" t="s">
        <v>103</v>
      </c>
      <c r="I18" s="211">
        <f>TRUNC(D18*F18,4)</f>
        <v>68.0818</v>
      </c>
    </row>
    <row r="19" spans="1:9" ht="15">
      <c r="A19" s="100"/>
      <c r="B19" s="94" t="s">
        <v>157</v>
      </c>
      <c r="C19" s="206"/>
      <c r="D19" s="207"/>
      <c r="E19" s="208"/>
      <c r="F19" s="209"/>
      <c r="G19" s="208"/>
      <c r="H19" s="104"/>
      <c r="I19" s="211"/>
    </row>
    <row r="20" spans="1:11" ht="30.75" customHeight="1">
      <c r="A20" s="100" t="s">
        <v>63</v>
      </c>
      <c r="B20" s="157" t="s">
        <v>54</v>
      </c>
      <c r="C20" s="100" t="s">
        <v>52</v>
      </c>
      <c r="D20" s="116">
        <f>2*8</f>
        <v>16</v>
      </c>
      <c r="E20" s="95" t="s">
        <v>150</v>
      </c>
      <c r="F20" s="211">
        <v>108.39</v>
      </c>
      <c r="G20" s="101" t="s">
        <v>53</v>
      </c>
      <c r="H20" s="102">
        <v>90778</v>
      </c>
      <c r="I20" s="211">
        <f aca="true" t="shared" si="0" ref="I20:I28">TRUNC(D20*F20,4)</f>
        <v>1734.24</v>
      </c>
      <c r="J20"/>
      <c r="K20"/>
    </row>
    <row r="21" spans="1:11" ht="28.5">
      <c r="A21" s="100" t="s">
        <v>67</v>
      </c>
      <c r="B21" s="157" t="s">
        <v>36</v>
      </c>
      <c r="C21" s="100" t="s">
        <v>52</v>
      </c>
      <c r="D21" s="116">
        <f>2*8+2*8</f>
        <v>32</v>
      </c>
      <c r="E21" s="95" t="s">
        <v>151</v>
      </c>
      <c r="F21" s="211">
        <v>52.79</v>
      </c>
      <c r="G21" s="103" t="s">
        <v>53</v>
      </c>
      <c r="H21" s="104">
        <v>90775</v>
      </c>
      <c r="I21" s="211">
        <f t="shared" si="0"/>
        <v>1689.28</v>
      </c>
      <c r="J21"/>
      <c r="K21"/>
    </row>
    <row r="22" spans="1:11" ht="28.5">
      <c r="A22" s="100" t="s">
        <v>147</v>
      </c>
      <c r="B22" s="157" t="s">
        <v>98</v>
      </c>
      <c r="C22" s="100" t="s">
        <v>52</v>
      </c>
      <c r="D22" s="116">
        <f>2*1+4</f>
        <v>6</v>
      </c>
      <c r="E22" s="95" t="s">
        <v>153</v>
      </c>
      <c r="F22" s="211">
        <v>34.44</v>
      </c>
      <c r="G22" s="103" t="s">
        <v>53</v>
      </c>
      <c r="H22" s="104">
        <v>100309</v>
      </c>
      <c r="I22" s="211">
        <f t="shared" si="0"/>
        <v>206.64</v>
      </c>
      <c r="J22"/>
      <c r="K22"/>
    </row>
    <row r="23" spans="1:11" ht="28.5">
      <c r="A23" s="93">
        <v>6</v>
      </c>
      <c r="B23" s="6" t="s">
        <v>34</v>
      </c>
      <c r="C23" s="119" t="s">
        <v>71</v>
      </c>
      <c r="D23" s="116">
        <f>2*4*1+2</f>
        <v>10</v>
      </c>
      <c r="E23" s="120" t="s">
        <v>156</v>
      </c>
      <c r="F23" s="227">
        <f>TRUNC(32.3013*(1+orcamento!$E$33),4)</f>
        <v>32.907</v>
      </c>
      <c r="G23" s="121" t="s">
        <v>72</v>
      </c>
      <c r="H23" s="104" t="s">
        <v>73</v>
      </c>
      <c r="I23" s="211">
        <f t="shared" si="0"/>
        <v>329.07</v>
      </c>
      <c r="J23"/>
      <c r="K23"/>
    </row>
    <row r="24" spans="1:11" ht="28.5">
      <c r="A24" s="100" t="s">
        <v>148</v>
      </c>
      <c r="B24" s="94" t="s">
        <v>55</v>
      </c>
      <c r="C24" s="100" t="s">
        <v>56</v>
      </c>
      <c r="D24" s="116">
        <f>ROUND((D21+D12)/176,4)</f>
        <v>0.204</v>
      </c>
      <c r="E24" s="95"/>
      <c r="F24" s="99">
        <f>TRUNC(171.37*(1+orcamento!$E$31),4)</f>
        <v>190.1022</v>
      </c>
      <c r="G24" s="105" t="s">
        <v>57</v>
      </c>
      <c r="H24" s="104" t="s">
        <v>58</v>
      </c>
      <c r="I24" s="211">
        <f t="shared" si="0"/>
        <v>38.7808</v>
      </c>
      <c r="J24"/>
      <c r="K24"/>
    </row>
    <row r="25" spans="1:11" ht="15">
      <c r="A25" s="100" t="s">
        <v>149</v>
      </c>
      <c r="B25" s="106" t="s">
        <v>59</v>
      </c>
      <c r="C25" s="107" t="s">
        <v>60</v>
      </c>
      <c r="D25" s="117">
        <f>ROUND((D12+D21)/(176*12),4)</f>
        <v>0.017</v>
      </c>
      <c r="E25" s="108"/>
      <c r="F25" s="211">
        <f>TRUNC(6461.72*(1+orcamento!$E$32),4)</f>
        <v>6724.9097</v>
      </c>
      <c r="G25" s="105" t="s">
        <v>61</v>
      </c>
      <c r="H25" s="104" t="s">
        <v>62</v>
      </c>
      <c r="I25" s="211">
        <f t="shared" si="0"/>
        <v>114.3234</v>
      </c>
      <c r="J25"/>
      <c r="K25"/>
    </row>
    <row r="26" spans="1:11" ht="28.5">
      <c r="A26" s="100" t="s">
        <v>143</v>
      </c>
      <c r="B26" s="94" t="s">
        <v>64</v>
      </c>
      <c r="C26" s="100" t="s">
        <v>65</v>
      </c>
      <c r="D26" s="131">
        <f>ROUNDUP(D21*0.5,0)</f>
        <v>16</v>
      </c>
      <c r="E26" s="95"/>
      <c r="F26" s="211">
        <f>TRUNC(0.35*(1+orcamento!$E$31),4)</f>
        <v>0.3882</v>
      </c>
      <c r="G26" s="105" t="s">
        <v>57</v>
      </c>
      <c r="H26" s="109" t="s">
        <v>66</v>
      </c>
      <c r="I26" s="211">
        <f t="shared" si="0"/>
        <v>6.2112</v>
      </c>
      <c r="J26"/>
      <c r="K26"/>
    </row>
    <row r="27" spans="1:11" ht="28.5">
      <c r="A27" s="100" t="s">
        <v>144</v>
      </c>
      <c r="B27" s="94" t="s">
        <v>68</v>
      </c>
      <c r="C27" s="100" t="s">
        <v>65</v>
      </c>
      <c r="D27" s="131">
        <f>IF(ROUNDUP(D25*0.66,0)&lt;6,6,IF(ROUNDUP(D25*0.66,0)&gt;18,18,(ROUNDUP(D25*0.66,0))))</f>
        <v>6</v>
      </c>
      <c r="E27" s="95"/>
      <c r="F27" s="211">
        <f>TRUNC(5*(1+orcamento!$E$31),4)</f>
        <v>5.5465</v>
      </c>
      <c r="G27" s="105" t="s">
        <v>57</v>
      </c>
      <c r="H27" s="109" t="s">
        <v>69</v>
      </c>
      <c r="I27" s="211">
        <f t="shared" si="0"/>
        <v>33.279</v>
      </c>
      <c r="J27"/>
      <c r="K27"/>
    </row>
    <row r="28" spans="1:9" ht="15">
      <c r="A28" s="93">
        <v>9</v>
      </c>
      <c r="B28" s="94" t="s">
        <v>136</v>
      </c>
      <c r="C28" s="93" t="s">
        <v>65</v>
      </c>
      <c r="D28" s="231">
        <f>ROUND(1/(7*4),4)</f>
        <v>0.0357</v>
      </c>
      <c r="E28" s="95"/>
      <c r="F28" s="96">
        <v>240.82</v>
      </c>
      <c r="G28" s="97" t="s">
        <v>15</v>
      </c>
      <c r="H28" s="98" t="s">
        <v>77</v>
      </c>
      <c r="I28" s="211">
        <f t="shared" si="0"/>
        <v>8.5972</v>
      </c>
    </row>
    <row r="29" spans="10:11" ht="15">
      <c r="J29"/>
      <c r="K29"/>
    </row>
    <row r="30" spans="10:11" ht="15">
      <c r="J30"/>
      <c r="K30"/>
    </row>
    <row r="31" spans="1:11" ht="15">
      <c r="A31" s="76" t="s">
        <v>27</v>
      </c>
      <c r="B31" s="76" t="s">
        <v>28</v>
      </c>
      <c r="C31" s="77"/>
      <c r="D31" s="77"/>
      <c r="E31" s="77"/>
      <c r="F31" s="77"/>
      <c r="G31" s="78"/>
      <c r="H31" s="79" t="s">
        <v>29</v>
      </c>
      <c r="I31" s="79" t="s">
        <v>50</v>
      </c>
      <c r="J31"/>
      <c r="K31"/>
    </row>
    <row r="32" spans="1:11" ht="15">
      <c r="A32" s="80" t="s">
        <v>35</v>
      </c>
      <c r="B32" s="110" t="s">
        <v>107</v>
      </c>
      <c r="C32" s="82"/>
      <c r="D32" s="82"/>
      <c r="E32" s="82"/>
      <c r="F32" s="82"/>
      <c r="G32" s="83"/>
      <c r="H32" s="84" t="s">
        <v>7</v>
      </c>
      <c r="I32" s="85">
        <f>TRUNC(SUM(I34:I42),2)</f>
        <v>7824.33</v>
      </c>
      <c r="J32"/>
      <c r="K32"/>
    </row>
    <row r="33" spans="1:11" ht="30">
      <c r="A33" s="111" t="s">
        <v>1</v>
      </c>
      <c r="B33" s="112" t="s">
        <v>2</v>
      </c>
      <c r="C33" s="112" t="s">
        <v>29</v>
      </c>
      <c r="D33" s="90" t="s">
        <v>30</v>
      </c>
      <c r="E33" s="113" t="s">
        <v>31</v>
      </c>
      <c r="F33" s="90" t="s">
        <v>25</v>
      </c>
      <c r="G33" s="114" t="s">
        <v>31</v>
      </c>
      <c r="H33" s="115"/>
      <c r="I33" s="88" t="s">
        <v>51</v>
      </c>
      <c r="J33"/>
      <c r="K33"/>
    </row>
    <row r="34" spans="1:9" ht="28.5">
      <c r="A34" s="93" t="s">
        <v>6</v>
      </c>
      <c r="B34" s="94" t="s">
        <v>75</v>
      </c>
      <c r="C34" s="93" t="s">
        <v>52</v>
      </c>
      <c r="D34" s="116">
        <f>ROUND((D35+D36+D37)*0.05,4)</f>
        <v>4.4</v>
      </c>
      <c r="E34" s="130">
        <v>0.05</v>
      </c>
      <c r="F34" s="228">
        <v>147.75</v>
      </c>
      <c r="G34" s="97" t="s">
        <v>53</v>
      </c>
      <c r="H34" s="98">
        <v>90779</v>
      </c>
      <c r="I34" s="211">
        <f aca="true" t="shared" si="1" ref="I34:I42">TRUNC(D34*F34,4)</f>
        <v>650.1</v>
      </c>
    </row>
    <row r="35" spans="1:11" ht="15">
      <c r="A35" s="100" t="s">
        <v>88</v>
      </c>
      <c r="B35" s="94" t="s">
        <v>32</v>
      </c>
      <c r="C35" s="100" t="s">
        <v>52</v>
      </c>
      <c r="D35" s="116">
        <f>4*8</f>
        <v>32</v>
      </c>
      <c r="E35" s="95" t="s">
        <v>104</v>
      </c>
      <c r="F35" s="211">
        <v>108.39</v>
      </c>
      <c r="G35" s="97" t="s">
        <v>53</v>
      </c>
      <c r="H35" s="102">
        <v>90778</v>
      </c>
      <c r="I35" s="211">
        <f t="shared" si="1"/>
        <v>3468.48</v>
      </c>
      <c r="J35"/>
      <c r="K35"/>
    </row>
    <row r="36" spans="1:11" ht="28.5">
      <c r="A36" s="100" t="s">
        <v>89</v>
      </c>
      <c r="B36" s="157" t="s">
        <v>36</v>
      </c>
      <c r="C36" s="100" t="s">
        <v>52</v>
      </c>
      <c r="D36" s="116">
        <f>4*8+2*8</f>
        <v>48</v>
      </c>
      <c r="E36" s="95" t="s">
        <v>152</v>
      </c>
      <c r="F36" s="211">
        <v>52.79</v>
      </c>
      <c r="G36" s="103" t="s">
        <v>53</v>
      </c>
      <c r="H36" s="104">
        <v>90775</v>
      </c>
      <c r="I36" s="211">
        <f t="shared" si="1"/>
        <v>2533.92</v>
      </c>
      <c r="J36"/>
      <c r="K36"/>
    </row>
    <row r="37" spans="1:11" ht="28.5">
      <c r="A37" s="100" t="s">
        <v>90</v>
      </c>
      <c r="B37" s="157" t="s">
        <v>98</v>
      </c>
      <c r="C37" s="100" t="s">
        <v>52</v>
      </c>
      <c r="D37" s="116">
        <f>4*1+4</f>
        <v>8</v>
      </c>
      <c r="E37" s="95" t="s">
        <v>154</v>
      </c>
      <c r="F37" s="211">
        <v>34.44</v>
      </c>
      <c r="G37" s="159" t="s">
        <v>53</v>
      </c>
      <c r="H37" s="104">
        <v>100309</v>
      </c>
      <c r="I37" s="211">
        <f t="shared" si="1"/>
        <v>275.52</v>
      </c>
      <c r="J37"/>
      <c r="K37"/>
    </row>
    <row r="38" spans="1:11" ht="28.5">
      <c r="A38" s="93">
        <v>2</v>
      </c>
      <c r="B38" s="6" t="s">
        <v>34</v>
      </c>
      <c r="C38" s="119" t="s">
        <v>71</v>
      </c>
      <c r="D38" s="116">
        <f>4*4*1+4</f>
        <v>20</v>
      </c>
      <c r="E38" s="120" t="s">
        <v>155</v>
      </c>
      <c r="F38" s="227">
        <f>TRUNC(32.3013*(1+orcamento!$E$33),4)</f>
        <v>32.907</v>
      </c>
      <c r="G38" s="121" t="s">
        <v>72</v>
      </c>
      <c r="H38" s="104" t="s">
        <v>73</v>
      </c>
      <c r="I38" s="211">
        <f t="shared" si="1"/>
        <v>658.14</v>
      </c>
      <c r="J38"/>
      <c r="K38"/>
    </row>
    <row r="39" spans="1:11" ht="28.5">
      <c r="A39" s="100" t="s">
        <v>24</v>
      </c>
      <c r="B39" s="94" t="s">
        <v>55</v>
      </c>
      <c r="C39" s="100" t="s">
        <v>56</v>
      </c>
      <c r="D39" s="116">
        <f>ROUND((D36+D34)/176,4)</f>
        <v>0.2977</v>
      </c>
      <c r="E39" s="95"/>
      <c r="F39" s="99">
        <f>TRUNC(171.37*(1+orcamento!$E$31),4)</f>
        <v>190.1022</v>
      </c>
      <c r="G39" s="105" t="s">
        <v>57</v>
      </c>
      <c r="H39" s="104" t="s">
        <v>58</v>
      </c>
      <c r="I39" s="211">
        <f t="shared" si="1"/>
        <v>56.5934</v>
      </c>
      <c r="J39"/>
      <c r="K39"/>
    </row>
    <row r="40" spans="1:11" ht="15">
      <c r="A40" s="100" t="s">
        <v>70</v>
      </c>
      <c r="B40" s="106" t="s">
        <v>59</v>
      </c>
      <c r="C40" s="107" t="s">
        <v>60</v>
      </c>
      <c r="D40" s="117">
        <f>ROUND((D34+D36)/(176*12),4)</f>
        <v>0.0248</v>
      </c>
      <c r="E40" s="108"/>
      <c r="F40" s="211">
        <f>TRUNC(6461.72*(1+orcamento!$E$32),4)</f>
        <v>6724.9097</v>
      </c>
      <c r="G40" s="105" t="s">
        <v>61</v>
      </c>
      <c r="H40" s="104" t="s">
        <v>62</v>
      </c>
      <c r="I40" s="211">
        <f t="shared" si="1"/>
        <v>166.7777</v>
      </c>
      <c r="J40"/>
      <c r="K40"/>
    </row>
    <row r="41" spans="1:11" ht="28.5">
      <c r="A41" s="93">
        <v>4</v>
      </c>
      <c r="B41" s="94" t="s">
        <v>64</v>
      </c>
      <c r="C41" s="100" t="s">
        <v>65</v>
      </c>
      <c r="D41" s="230">
        <f>ROUNDUP(D35*0.5,0)</f>
        <v>16</v>
      </c>
      <c r="E41" s="95"/>
      <c r="F41" s="211">
        <f>TRUNC(0.35*(1+orcamento!$E$31),4)</f>
        <v>0.3882</v>
      </c>
      <c r="G41" s="118" t="s">
        <v>57</v>
      </c>
      <c r="H41" s="109" t="s">
        <v>66</v>
      </c>
      <c r="I41" s="211">
        <f t="shared" si="1"/>
        <v>6.2112</v>
      </c>
      <c r="J41"/>
      <c r="K41"/>
    </row>
    <row r="42" spans="1:9" ht="15">
      <c r="A42" s="93">
        <v>5</v>
      </c>
      <c r="B42" s="94" t="s">
        <v>136</v>
      </c>
      <c r="C42" s="93" t="s">
        <v>65</v>
      </c>
      <c r="D42" s="231">
        <f>ROUND(1/(7*4),4)</f>
        <v>0.0357</v>
      </c>
      <c r="E42" s="95"/>
      <c r="F42" s="96">
        <v>240.82</v>
      </c>
      <c r="G42" s="97" t="s">
        <v>15</v>
      </c>
      <c r="H42" s="98" t="s">
        <v>77</v>
      </c>
      <c r="I42" s="211">
        <f t="shared" si="1"/>
        <v>8.5972</v>
      </c>
    </row>
    <row r="43" spans="10:11" ht="15">
      <c r="J43"/>
      <c r="K43"/>
    </row>
    <row r="44" spans="10:11" ht="15">
      <c r="J44"/>
      <c r="K44"/>
    </row>
    <row r="45" spans="1:11" ht="15">
      <c r="A45" s="76" t="s">
        <v>27</v>
      </c>
      <c r="B45" s="76" t="s">
        <v>28</v>
      </c>
      <c r="C45" s="77"/>
      <c r="D45" s="77"/>
      <c r="E45" s="77"/>
      <c r="F45" s="77"/>
      <c r="G45" s="78"/>
      <c r="H45" s="79" t="s">
        <v>29</v>
      </c>
      <c r="I45" s="79" t="s">
        <v>50</v>
      </c>
      <c r="J45"/>
      <c r="K45"/>
    </row>
    <row r="46" spans="1:11" ht="15">
      <c r="A46" s="80" t="s">
        <v>122</v>
      </c>
      <c r="B46" s="110" t="s">
        <v>106</v>
      </c>
      <c r="C46" s="82"/>
      <c r="D46" s="82"/>
      <c r="E46" s="82"/>
      <c r="F46" s="82"/>
      <c r="G46" s="83"/>
      <c r="H46" s="84" t="s">
        <v>7</v>
      </c>
      <c r="I46" s="85">
        <f>TRUNC(SUM(I48:I54),2)</f>
        <v>6853.3</v>
      </c>
      <c r="J46"/>
      <c r="K46"/>
    </row>
    <row r="47" spans="1:11" ht="30">
      <c r="A47" s="111" t="s">
        <v>1</v>
      </c>
      <c r="B47" s="112" t="s">
        <v>2</v>
      </c>
      <c r="C47" s="112" t="s">
        <v>29</v>
      </c>
      <c r="D47" s="90" t="s">
        <v>30</v>
      </c>
      <c r="E47" s="113" t="s">
        <v>31</v>
      </c>
      <c r="F47" s="90" t="s">
        <v>25</v>
      </c>
      <c r="G47" s="114" t="s">
        <v>31</v>
      </c>
      <c r="H47" s="115"/>
      <c r="I47" s="88" t="s">
        <v>51</v>
      </c>
      <c r="J47"/>
      <c r="K47"/>
    </row>
    <row r="48" spans="1:9" ht="28.5">
      <c r="A48" s="93" t="s">
        <v>6</v>
      </c>
      <c r="B48" s="94" t="s">
        <v>75</v>
      </c>
      <c r="C48" s="93" t="s">
        <v>52</v>
      </c>
      <c r="D48" s="116">
        <f>ROUND((D49)*0.05,4)</f>
        <v>2.8</v>
      </c>
      <c r="E48" s="130">
        <v>0.05</v>
      </c>
      <c r="F48" s="228">
        <v>147.75</v>
      </c>
      <c r="G48" s="97" t="s">
        <v>53</v>
      </c>
      <c r="H48" s="98">
        <v>90779</v>
      </c>
      <c r="I48" s="211">
        <f aca="true" t="shared" si="2" ref="I48:I54">TRUNC(D48*F48,4)</f>
        <v>413.7</v>
      </c>
    </row>
    <row r="49" spans="1:11" ht="15">
      <c r="A49" s="93" t="s">
        <v>88</v>
      </c>
      <c r="B49" s="94" t="s">
        <v>32</v>
      </c>
      <c r="C49" s="100" t="s">
        <v>52</v>
      </c>
      <c r="D49" s="116">
        <f>7*8</f>
        <v>56</v>
      </c>
      <c r="E49" s="95" t="s">
        <v>137</v>
      </c>
      <c r="F49" s="211">
        <v>108.39</v>
      </c>
      <c r="G49" s="97" t="s">
        <v>53</v>
      </c>
      <c r="H49" s="102">
        <v>90778</v>
      </c>
      <c r="I49" s="211">
        <f t="shared" si="2"/>
        <v>6069.84</v>
      </c>
      <c r="J49"/>
      <c r="K49"/>
    </row>
    <row r="50" spans="1:11" ht="28.5">
      <c r="A50" s="100" t="s">
        <v>8</v>
      </c>
      <c r="B50" s="94" t="s">
        <v>55</v>
      </c>
      <c r="C50" s="100" t="s">
        <v>56</v>
      </c>
      <c r="D50" s="116">
        <f>ROUND((D49+D48)/176,4)</f>
        <v>0.3341</v>
      </c>
      <c r="E50" s="95"/>
      <c r="F50" s="99">
        <f>TRUNC(171.37*(1+orcamento!$E$31),4)</f>
        <v>190.1022</v>
      </c>
      <c r="G50" s="105" t="s">
        <v>57</v>
      </c>
      <c r="H50" s="104" t="s">
        <v>58</v>
      </c>
      <c r="I50" s="211">
        <f t="shared" si="2"/>
        <v>63.5131</v>
      </c>
      <c r="J50"/>
      <c r="K50"/>
    </row>
    <row r="51" spans="1:11" ht="15">
      <c r="A51" s="100" t="s">
        <v>48</v>
      </c>
      <c r="B51" s="106" t="s">
        <v>59</v>
      </c>
      <c r="C51" s="107" t="s">
        <v>60</v>
      </c>
      <c r="D51" s="117">
        <f>ROUND((D48+D49)/(176*12),4)</f>
        <v>0.0278</v>
      </c>
      <c r="E51" s="108"/>
      <c r="F51" s="211">
        <f>TRUNC(6461.72*(1+orcamento!$E$32),4)</f>
        <v>6724.9097</v>
      </c>
      <c r="G51" s="105" t="s">
        <v>61</v>
      </c>
      <c r="H51" s="104" t="s">
        <v>62</v>
      </c>
      <c r="I51" s="211">
        <f t="shared" si="2"/>
        <v>186.9524</v>
      </c>
      <c r="J51"/>
      <c r="K51"/>
    </row>
    <row r="52" spans="1:11" ht="28.5">
      <c r="A52" s="93" t="s">
        <v>24</v>
      </c>
      <c r="B52" s="94" t="s">
        <v>64</v>
      </c>
      <c r="C52" s="100" t="s">
        <v>65</v>
      </c>
      <c r="D52" s="131">
        <f>ROUNDUP(D49*0.5,0)</f>
        <v>28</v>
      </c>
      <c r="E52" s="95"/>
      <c r="F52" s="211">
        <f>TRUNC(0.35*(1+orcamento!$E$31),4)</f>
        <v>0.3882</v>
      </c>
      <c r="G52" s="118" t="s">
        <v>57</v>
      </c>
      <c r="H52" s="109" t="s">
        <v>66</v>
      </c>
      <c r="I52" s="211">
        <f t="shared" si="2"/>
        <v>10.8696</v>
      </c>
      <c r="J52"/>
      <c r="K52"/>
    </row>
    <row r="53" spans="1:11" ht="28.5">
      <c r="A53" s="5" t="s">
        <v>70</v>
      </c>
      <c r="B53" s="106" t="s">
        <v>68</v>
      </c>
      <c r="C53" s="107" t="s">
        <v>65</v>
      </c>
      <c r="D53" s="131">
        <f>IF(ROUNDUP(D52*0.66,0)&lt;6,6,IF(ROUNDUP(D52*0.66,0)&gt;18,18,(ROUNDUP(D52*0.66,0))))</f>
        <v>18</v>
      </c>
      <c r="E53" s="108"/>
      <c r="F53" s="211">
        <f>TRUNC(5*(1+orcamento!$E$31),4)</f>
        <v>5.5465</v>
      </c>
      <c r="G53" s="118" t="s">
        <v>57</v>
      </c>
      <c r="H53" s="109" t="s">
        <v>69</v>
      </c>
      <c r="I53" s="211">
        <f t="shared" si="2"/>
        <v>99.837</v>
      </c>
      <c r="J53"/>
      <c r="K53"/>
    </row>
    <row r="54" spans="1:9" ht="15">
      <c r="A54" s="93">
        <v>4</v>
      </c>
      <c r="B54" s="94" t="s">
        <v>136</v>
      </c>
      <c r="C54" s="93" t="s">
        <v>65</v>
      </c>
      <c r="D54" s="229">
        <f>ROUND(1/(7*4),4)</f>
        <v>0.0357</v>
      </c>
      <c r="E54" s="95"/>
      <c r="F54" s="96">
        <v>240.82</v>
      </c>
      <c r="G54" s="97" t="s">
        <v>15</v>
      </c>
      <c r="H54" s="98" t="s">
        <v>77</v>
      </c>
      <c r="I54" s="211">
        <f t="shared" si="2"/>
        <v>8.5972</v>
      </c>
    </row>
    <row r="55" spans="10:11" ht="15">
      <c r="J55"/>
      <c r="K55"/>
    </row>
    <row r="56" spans="10:11" ht="15">
      <c r="J56"/>
      <c r="K56"/>
    </row>
    <row r="57" spans="1:11" ht="15">
      <c r="A57" s="76" t="s">
        <v>27</v>
      </c>
      <c r="B57" s="76" t="s">
        <v>28</v>
      </c>
      <c r="C57" s="77"/>
      <c r="D57" s="77"/>
      <c r="E57" s="77"/>
      <c r="F57" s="77"/>
      <c r="G57" s="78"/>
      <c r="H57" s="79" t="s">
        <v>29</v>
      </c>
      <c r="I57" s="79" t="s">
        <v>50</v>
      </c>
      <c r="J57"/>
      <c r="K57"/>
    </row>
    <row r="58" spans="1:11" ht="15">
      <c r="A58" s="80" t="s">
        <v>184</v>
      </c>
      <c r="B58" s="266" t="s">
        <v>175</v>
      </c>
      <c r="C58" s="82"/>
      <c r="D58" s="82"/>
      <c r="E58" s="82"/>
      <c r="F58" s="82"/>
      <c r="G58" s="83"/>
      <c r="H58" s="84" t="s">
        <v>185</v>
      </c>
      <c r="I58" s="85">
        <f>TRUNC(SUM(I60:I63),2)</f>
        <v>5735.78</v>
      </c>
      <c r="J58"/>
      <c r="K58"/>
    </row>
    <row r="59" spans="1:11" ht="30">
      <c r="A59" s="111" t="s">
        <v>1</v>
      </c>
      <c r="B59" s="112" t="s">
        <v>2</v>
      </c>
      <c r="C59" s="112" t="s">
        <v>29</v>
      </c>
      <c r="D59" s="90" t="s">
        <v>30</v>
      </c>
      <c r="E59" s="113" t="s">
        <v>31</v>
      </c>
      <c r="F59" s="90" t="s">
        <v>25</v>
      </c>
      <c r="G59" s="114" t="s">
        <v>31</v>
      </c>
      <c r="H59" s="115"/>
      <c r="I59" s="88" t="s">
        <v>51</v>
      </c>
      <c r="J59"/>
      <c r="K59"/>
    </row>
    <row r="60" spans="1:9" ht="28.5">
      <c r="A60" s="93" t="s">
        <v>6</v>
      </c>
      <c r="B60" s="94" t="s">
        <v>175</v>
      </c>
      <c r="C60" s="93" t="s">
        <v>71</v>
      </c>
      <c r="D60" s="116">
        <v>8</v>
      </c>
      <c r="E60" s="130"/>
      <c r="F60" s="228">
        <f>TRUNC(318.1239*(1+orcamento!$E$33),4)</f>
        <v>324.0895</v>
      </c>
      <c r="G60" s="97" t="s">
        <v>72</v>
      </c>
      <c r="H60" s="98" t="s">
        <v>186</v>
      </c>
      <c r="I60" s="211">
        <f>TRUNC(D60*F60,4)</f>
        <v>2592.716</v>
      </c>
    </row>
    <row r="61" spans="1:11" ht="28.5">
      <c r="A61" s="5" t="s">
        <v>88</v>
      </c>
      <c r="B61" s="106" t="s">
        <v>175</v>
      </c>
      <c r="C61" s="93" t="s">
        <v>142</v>
      </c>
      <c r="D61" s="131">
        <v>16</v>
      </c>
      <c r="E61" s="108"/>
      <c r="F61" s="211">
        <f>TRUNC(172.723*(1+orcamento!$E$33),4)</f>
        <v>175.962</v>
      </c>
      <c r="G61" s="97" t="s">
        <v>72</v>
      </c>
      <c r="H61" s="109" t="s">
        <v>186</v>
      </c>
      <c r="I61" s="211">
        <f>TRUNC(D61*F61,4)</f>
        <v>2815.392</v>
      </c>
      <c r="J61"/>
      <c r="K61"/>
    </row>
    <row r="62" spans="1:11" ht="30.75" customHeight="1">
      <c r="A62" s="100">
        <v>2</v>
      </c>
      <c r="B62" s="157" t="s">
        <v>187</v>
      </c>
      <c r="C62" s="100" t="s">
        <v>52</v>
      </c>
      <c r="D62" s="116">
        <v>8</v>
      </c>
      <c r="E62" s="95" t="s">
        <v>188</v>
      </c>
      <c r="F62" s="211">
        <v>17.76</v>
      </c>
      <c r="G62" s="101" t="s">
        <v>53</v>
      </c>
      <c r="H62" s="102">
        <v>88316</v>
      </c>
      <c r="I62" s="211">
        <f>TRUNC(D62*F62,4)</f>
        <v>142.08</v>
      </c>
      <c r="J62"/>
      <c r="K62"/>
    </row>
    <row r="63" spans="1:11" ht="30.75" customHeight="1">
      <c r="A63" s="100">
        <v>3</v>
      </c>
      <c r="B63" s="157" t="s">
        <v>189</v>
      </c>
      <c r="C63" s="107" t="s">
        <v>65</v>
      </c>
      <c r="D63" s="131">
        <v>4</v>
      </c>
      <c r="E63" s="95"/>
      <c r="F63" s="211">
        <v>46.4</v>
      </c>
      <c r="G63" s="101" t="s">
        <v>53</v>
      </c>
      <c r="H63" s="102">
        <v>13244</v>
      </c>
      <c r="I63" s="211">
        <f>TRUNC(D63*F63,4)</f>
        <v>185.6</v>
      </c>
      <c r="J63"/>
      <c r="K63"/>
    </row>
  </sheetData>
  <sheetProtection/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50" r:id="rId1"/>
  <headerFoot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="70" zoomScaleNormal="70" workbookViewId="0" topLeftCell="A1">
      <selection activeCell="L12" sqref="L12"/>
    </sheetView>
  </sheetViews>
  <sheetFormatPr defaultColWidth="9.140625" defaultRowHeight="14.25" customHeight="1"/>
  <cols>
    <col min="1" max="1" width="8.421875" style="0" bestFit="1" customWidth="1"/>
    <col min="2" max="2" width="54.57421875" style="0" customWidth="1"/>
    <col min="3" max="3" width="21.7109375" style="0" customWidth="1"/>
    <col min="4" max="4" width="17.8515625" style="2" customWidth="1"/>
    <col min="5" max="5" width="9.421875" style="2" bestFit="1" customWidth="1"/>
    <col min="6" max="6" width="19.8515625" style="0" bestFit="1" customWidth="1"/>
    <col min="7" max="7" width="12.00390625" style="0" bestFit="1" customWidth="1"/>
  </cols>
  <sheetData>
    <row r="1" spans="1:7" s="1" customFormat="1" ht="21" thickBot="1">
      <c r="A1" s="64"/>
      <c r="B1" s="65"/>
      <c r="C1" s="127" t="s">
        <v>37</v>
      </c>
      <c r="D1" s="33"/>
      <c r="E1" s="33"/>
      <c r="F1" s="65"/>
      <c r="G1" s="128"/>
    </row>
    <row r="2" spans="1:7" s="1" customFormat="1" ht="18.75">
      <c r="A2" s="64"/>
      <c r="B2" s="65"/>
      <c r="C2" s="65" t="s">
        <v>162</v>
      </c>
      <c r="D2" s="36"/>
      <c r="E2" s="36"/>
      <c r="F2" s="65"/>
      <c r="G2" s="128"/>
    </row>
    <row r="3" spans="1:7" s="1" customFormat="1" ht="15">
      <c r="A3" s="37"/>
      <c r="B3" s="194" t="s">
        <v>173</v>
      </c>
      <c r="D3" s="39"/>
      <c r="E3" s="39"/>
      <c r="F3" s="38"/>
      <c r="G3" s="40"/>
    </row>
    <row r="4" spans="1:7" s="1" customFormat="1" ht="15">
      <c r="A4" s="37"/>
      <c r="B4" s="195" t="s">
        <v>174</v>
      </c>
      <c r="D4" s="41"/>
      <c r="E4" s="41"/>
      <c r="F4" s="38"/>
      <c r="G4" s="40"/>
    </row>
    <row r="5" spans="1:7" s="1" customFormat="1" ht="12.75">
      <c r="A5" s="37"/>
      <c r="B5" s="38"/>
      <c r="D5" s="39"/>
      <c r="E5" s="39"/>
      <c r="F5" s="38"/>
      <c r="G5" s="40"/>
    </row>
    <row r="6" spans="1:7" s="1" customFormat="1" ht="18">
      <c r="A6" s="70"/>
      <c r="C6" s="44" t="s">
        <v>176</v>
      </c>
      <c r="D6" s="43"/>
      <c r="E6" s="43"/>
      <c r="F6" s="44"/>
      <c r="G6" s="129"/>
    </row>
    <row r="7" spans="1:7" s="1" customFormat="1" ht="18.75" thickBot="1">
      <c r="A7" s="45"/>
      <c r="B7" s="46"/>
      <c r="C7" s="46"/>
      <c r="D7" s="47"/>
      <c r="E7" s="47"/>
      <c r="F7" s="46"/>
      <c r="G7" s="48"/>
    </row>
    <row r="8" spans="1:7" ht="15.75">
      <c r="A8" s="272" t="s">
        <v>10</v>
      </c>
      <c r="B8" s="272"/>
      <c r="C8" s="274" t="s">
        <v>91</v>
      </c>
      <c r="D8" s="280" t="s">
        <v>138</v>
      </c>
      <c r="E8" s="281"/>
      <c r="F8" s="278" t="s">
        <v>11</v>
      </c>
      <c r="G8" s="279"/>
    </row>
    <row r="9" spans="1:7" ht="15.75">
      <c r="A9" s="273"/>
      <c r="B9" s="273"/>
      <c r="C9" s="275"/>
      <c r="D9" s="161" t="s">
        <v>13</v>
      </c>
      <c r="E9" s="161" t="s">
        <v>92</v>
      </c>
      <c r="F9" s="267" t="s">
        <v>13</v>
      </c>
      <c r="G9" s="267" t="s">
        <v>92</v>
      </c>
    </row>
    <row r="10" spans="1:7" ht="15.75">
      <c r="A10" s="139">
        <f>orcamento!A9</f>
        <v>1</v>
      </c>
      <c r="B10" s="50" t="str">
        <f>orcamento!D9</f>
        <v>Inspeção Especial</v>
      </c>
      <c r="C10" s="196"/>
      <c r="D10" s="197"/>
      <c r="E10" s="161"/>
      <c r="F10" s="268"/>
      <c r="G10" s="269"/>
    </row>
    <row r="11" spans="1:7" s="202" customFormat="1" ht="15.75">
      <c r="A11" s="178" t="str">
        <f>orcamento!A10</f>
        <v>1.1</v>
      </c>
      <c r="B11" s="181" t="str">
        <f>orcamento!D10</f>
        <v>Ensaios Laboratoriais</v>
      </c>
      <c r="C11" s="198"/>
      <c r="D11" s="199"/>
      <c r="E11" s="200"/>
      <c r="F11" s="199"/>
      <c r="G11" s="201"/>
    </row>
    <row r="12" spans="1:7" ht="15">
      <c r="A12" s="146" t="str">
        <f>orcamento!A11</f>
        <v>1.1.1</v>
      </c>
      <c r="B12" s="53" t="str">
        <f>orcamento!D11</f>
        <v>Gerenciamento, Mobilização e Relatorio</v>
      </c>
      <c r="C12" s="151">
        <f>orcamento!I11</f>
        <v>7052.62</v>
      </c>
      <c r="D12" s="162">
        <f aca="true" t="shared" si="0" ref="D12:D19">TRUNC($C12*E12,2)</f>
        <v>7052.62</v>
      </c>
      <c r="E12" s="156">
        <f>orcamento!E11</f>
        <v>1</v>
      </c>
      <c r="F12" s="162">
        <f>D12</f>
        <v>7052.62</v>
      </c>
      <c r="G12" s="298">
        <f>E12</f>
        <v>1</v>
      </c>
    </row>
    <row r="13" spans="1:7" ht="15">
      <c r="A13" s="146" t="str">
        <f>orcamento!A12</f>
        <v>1.1.2</v>
      </c>
      <c r="B13" s="53" t="str">
        <f>orcamento!D12</f>
        <v>Esclerometria</v>
      </c>
      <c r="C13" s="151">
        <f>orcamento!I12</f>
        <v>117.54</v>
      </c>
      <c r="D13" s="162">
        <f t="shared" si="0"/>
        <v>2350.8</v>
      </c>
      <c r="E13" s="52">
        <f>orcamento!E12</f>
        <v>20</v>
      </c>
      <c r="F13" s="162">
        <f aca="true" t="shared" si="1" ref="F13:F19">D13</f>
        <v>2350.8</v>
      </c>
      <c r="G13" s="299">
        <f aca="true" t="shared" si="2" ref="G13:G19">E13</f>
        <v>20</v>
      </c>
    </row>
    <row r="14" spans="1:7" ht="15">
      <c r="A14" s="146" t="str">
        <f>orcamento!A13</f>
        <v>1.1.3</v>
      </c>
      <c r="B14" s="53" t="str">
        <f>orcamento!D13</f>
        <v>Ultrassom</v>
      </c>
      <c r="C14" s="151">
        <f>orcamento!I13</f>
        <v>176.31</v>
      </c>
      <c r="D14" s="162">
        <f t="shared" si="0"/>
        <v>1057.86</v>
      </c>
      <c r="E14" s="52">
        <f>orcamento!E13</f>
        <v>6</v>
      </c>
      <c r="F14" s="162">
        <f t="shared" si="1"/>
        <v>1057.86</v>
      </c>
      <c r="G14" s="299">
        <f t="shared" si="2"/>
        <v>6</v>
      </c>
    </row>
    <row r="15" spans="1:7" ht="15">
      <c r="A15" s="146" t="str">
        <f>orcamento!A14</f>
        <v>1.1.4</v>
      </c>
      <c r="B15" s="53" t="str">
        <f>orcamento!D14</f>
        <v>Pacometria</v>
      </c>
      <c r="C15" s="151">
        <f>orcamento!I14</f>
        <v>117.54</v>
      </c>
      <c r="D15" s="162">
        <f t="shared" si="0"/>
        <v>940.32</v>
      </c>
      <c r="E15" s="52">
        <f>orcamento!E14</f>
        <v>8</v>
      </c>
      <c r="F15" s="162">
        <f t="shared" si="1"/>
        <v>940.32</v>
      </c>
      <c r="G15" s="299">
        <f t="shared" si="2"/>
        <v>8</v>
      </c>
    </row>
    <row r="16" spans="1:7" ht="15">
      <c r="A16" s="146" t="str">
        <f>orcamento!A15</f>
        <v>1.1.5</v>
      </c>
      <c r="B16" s="53" t="str">
        <f>orcamento!D15</f>
        <v>Resistividade</v>
      </c>
      <c r="C16" s="151">
        <f>orcamento!I15</f>
        <v>235.08</v>
      </c>
      <c r="D16" s="162">
        <f t="shared" si="0"/>
        <v>940.32</v>
      </c>
      <c r="E16" s="52">
        <f>orcamento!E15</f>
        <v>4</v>
      </c>
      <c r="F16" s="162">
        <f t="shared" si="1"/>
        <v>940.32</v>
      </c>
      <c r="G16" s="299">
        <f t="shared" si="2"/>
        <v>4</v>
      </c>
    </row>
    <row r="17" spans="1:7" ht="15">
      <c r="A17" s="146" t="str">
        <f>orcamento!A16</f>
        <v>1.1.6</v>
      </c>
      <c r="B17" s="53" t="str">
        <f>orcamento!D16</f>
        <v>Potencial de Corrosão</v>
      </c>
      <c r="C17" s="151">
        <f>orcamento!I16</f>
        <v>293.86</v>
      </c>
      <c r="D17" s="162">
        <f t="shared" si="0"/>
        <v>1175.44</v>
      </c>
      <c r="E17" s="52">
        <f>orcamento!E16</f>
        <v>4</v>
      </c>
      <c r="F17" s="162">
        <f t="shared" si="1"/>
        <v>1175.44</v>
      </c>
      <c r="G17" s="299">
        <f t="shared" si="2"/>
        <v>4</v>
      </c>
    </row>
    <row r="18" spans="1:7" ht="15">
      <c r="A18" s="146" t="str">
        <f>orcamento!A17</f>
        <v>1.1.7</v>
      </c>
      <c r="B18" s="53" t="str">
        <f>orcamento!D17</f>
        <v>Carbonatação</v>
      </c>
      <c r="C18" s="151">
        <f>orcamento!I17</f>
        <v>305.61</v>
      </c>
      <c r="D18" s="162">
        <f t="shared" si="0"/>
        <v>1222.44</v>
      </c>
      <c r="E18" s="52">
        <f>orcamento!E17</f>
        <v>4</v>
      </c>
      <c r="F18" s="162">
        <f t="shared" si="1"/>
        <v>1222.44</v>
      </c>
      <c r="G18" s="299">
        <f t="shared" si="2"/>
        <v>4</v>
      </c>
    </row>
    <row r="19" spans="1:7" ht="30">
      <c r="A19" s="146" t="str">
        <f>orcamento!A18</f>
        <v>1.1.8</v>
      </c>
      <c r="B19" s="53" t="str">
        <f>orcamento!D18</f>
        <v>Extração Corpo de Prova e Ensaio de Resistencia a Compressão</v>
      </c>
      <c r="C19" s="151">
        <f>orcamento!I18</f>
        <v>293.86</v>
      </c>
      <c r="D19" s="162">
        <f t="shared" si="0"/>
        <v>1763.16</v>
      </c>
      <c r="E19" s="52">
        <f>orcamento!E18</f>
        <v>6</v>
      </c>
      <c r="F19" s="162">
        <f t="shared" si="1"/>
        <v>1763.16</v>
      </c>
      <c r="G19" s="299">
        <f t="shared" si="2"/>
        <v>6</v>
      </c>
    </row>
    <row r="20" spans="1:7" s="202" customFormat="1" ht="15.75">
      <c r="A20" s="178" t="str">
        <f>orcamento!A19</f>
        <v>1.2</v>
      </c>
      <c r="B20" s="181" t="str">
        <f>orcamento!D19</f>
        <v>Levantamentos de campo</v>
      </c>
      <c r="C20" s="203"/>
      <c r="D20" s="183"/>
      <c r="E20" s="183"/>
      <c r="F20" s="203"/>
      <c r="G20" s="300"/>
    </row>
    <row r="21" spans="1:7" s="202" customFormat="1" ht="15">
      <c r="A21" s="146" t="str">
        <f>orcamento!A20</f>
        <v>1.2.1</v>
      </c>
      <c r="B21" s="53" t="str">
        <f>orcamento!D20</f>
        <v>Levantamento Cadastral e Geometrico</v>
      </c>
      <c r="C21" s="151">
        <f>orcamento!I20</f>
        <v>6511.88</v>
      </c>
      <c r="D21" s="162">
        <f>TRUNC($C21*E21,2)</f>
        <v>6511.88</v>
      </c>
      <c r="E21" s="52">
        <f>orcamento!E20</f>
        <v>1</v>
      </c>
      <c r="F21" s="162">
        <f>D21</f>
        <v>6511.88</v>
      </c>
      <c r="G21" s="299">
        <f>E21</f>
        <v>1</v>
      </c>
    </row>
    <row r="22" spans="1:7" s="202" customFormat="1" ht="15">
      <c r="A22" s="146" t="str">
        <f>orcamento!A21</f>
        <v>1.2.2</v>
      </c>
      <c r="B22" s="53" t="str">
        <f>orcamento!D21</f>
        <v>Levantamento das Patologias</v>
      </c>
      <c r="C22" s="151">
        <f>orcamento!I21</f>
        <v>9027.71</v>
      </c>
      <c r="D22" s="162">
        <f>TRUNC($C22*E22,2)</f>
        <v>9027.71</v>
      </c>
      <c r="E22" s="52">
        <f>orcamento!E21</f>
        <v>1</v>
      </c>
      <c r="F22" s="162">
        <f>D22</f>
        <v>9027.71</v>
      </c>
      <c r="G22" s="299">
        <f>E22</f>
        <v>1</v>
      </c>
    </row>
    <row r="23" spans="1:7" s="202" customFormat="1" ht="15.75">
      <c r="A23" s="178" t="str">
        <f>orcamento!A22</f>
        <v>1.3</v>
      </c>
      <c r="B23" s="181" t="str">
        <f>orcamento!D22</f>
        <v>Análise do Quadro Patologico</v>
      </c>
      <c r="C23" s="203"/>
      <c r="D23" s="183"/>
      <c r="E23" s="183"/>
      <c r="F23" s="203"/>
      <c r="G23" s="300"/>
    </row>
    <row r="24" spans="1:7" s="202" customFormat="1" ht="15">
      <c r="A24" s="146" t="str">
        <f>orcamento!A23</f>
        <v>1.3.1</v>
      </c>
      <c r="B24" s="53" t="str">
        <f>orcamento!D23</f>
        <v>Relatório de Patologia</v>
      </c>
      <c r="C24" s="151">
        <f>orcamento!I23</f>
        <v>7907.33</v>
      </c>
      <c r="D24" s="162">
        <f>TRUNC($C24*E24,2)</f>
        <v>7907.33</v>
      </c>
      <c r="E24" s="52">
        <f>orcamento!E23</f>
        <v>1</v>
      </c>
      <c r="F24" s="162">
        <f>D24</f>
        <v>7907.33</v>
      </c>
      <c r="G24" s="299">
        <f>E24</f>
        <v>1</v>
      </c>
    </row>
    <row r="25" spans="1:7" s="202" customFormat="1" ht="15.75">
      <c r="A25" s="178" t="str">
        <f>orcamento!A24</f>
        <v>1.4</v>
      </c>
      <c r="B25" s="181" t="str">
        <f>orcamento!D24</f>
        <v>Serviços auxiliares</v>
      </c>
      <c r="C25" s="203"/>
      <c r="D25" s="183"/>
      <c r="E25" s="183"/>
      <c r="F25" s="203"/>
      <c r="G25" s="301"/>
    </row>
    <row r="26" spans="1:7" s="202" customFormat="1" ht="30">
      <c r="A26" s="146" t="str">
        <f>orcamento!A25</f>
        <v>1.4.1</v>
      </c>
      <c r="B26" s="53" t="str">
        <f>orcamento!D25</f>
        <v>Plataforma telescópica para inspeção de pontes montada sobre chassi com capacidade de 500kg</v>
      </c>
      <c r="C26" s="151">
        <f>orcamento!I25</f>
        <v>6617.94</v>
      </c>
      <c r="D26" s="162">
        <f>TRUNC($C26*E26,2)</f>
        <v>19853.82</v>
      </c>
      <c r="E26" s="52">
        <f>orcamento!E25</f>
        <v>3</v>
      </c>
      <c r="F26" s="162">
        <f>D26</f>
        <v>19853.82</v>
      </c>
      <c r="G26" s="298">
        <f>E26</f>
        <v>3</v>
      </c>
    </row>
    <row r="27" spans="1:7" s="166" customFormat="1" ht="15.75">
      <c r="A27" s="163"/>
      <c r="B27" s="164" t="s">
        <v>93</v>
      </c>
      <c r="C27" s="165"/>
      <c r="D27" s="270">
        <f>SUM(D11:D26)</f>
        <v>59803.700000000004</v>
      </c>
      <c r="E27" s="270"/>
      <c r="F27" s="276">
        <f>SUM(F12:F26)</f>
        <v>59803.700000000004</v>
      </c>
      <c r="G27" s="277"/>
    </row>
    <row r="28" spans="1:5" s="166" customFormat="1" ht="15.75">
      <c r="A28" s="163"/>
      <c r="B28" s="167"/>
      <c r="C28" s="168"/>
      <c r="D28" s="271">
        <f>D27/$F$27</f>
        <v>1</v>
      </c>
      <c r="E28" s="271"/>
    </row>
    <row r="29" spans="1:5" s="166" customFormat="1" ht="15.75">
      <c r="A29" s="163"/>
      <c r="B29" s="164" t="s">
        <v>94</v>
      </c>
      <c r="C29" s="165"/>
      <c r="D29" s="270">
        <f>D27</f>
        <v>59803.700000000004</v>
      </c>
      <c r="E29" s="270"/>
    </row>
    <row r="30" spans="1:5" s="166" customFormat="1" ht="14.25" customHeight="1">
      <c r="A30" s="163"/>
      <c r="B30" s="167"/>
      <c r="C30" s="168"/>
      <c r="D30" s="271">
        <f>D29/$F$27</f>
        <v>1</v>
      </c>
      <c r="E30" s="271"/>
    </row>
    <row r="31" spans="4:5" ht="14.25" customHeight="1">
      <c r="D31" s="12"/>
      <c r="E31" s="12"/>
    </row>
    <row r="32" spans="4:5" ht="14.25" customHeight="1">
      <c r="D32" s="12"/>
      <c r="E32" s="12"/>
    </row>
    <row r="33" spans="4:5" ht="14.25" customHeight="1">
      <c r="D33" s="12"/>
      <c r="E33" s="12"/>
    </row>
    <row r="34" spans="4:5" ht="14.25" customHeight="1">
      <c r="D34" s="12"/>
      <c r="E34" s="12"/>
    </row>
    <row r="35" spans="4:5" ht="14.25" customHeight="1">
      <c r="D35" s="12"/>
      <c r="E35" s="12"/>
    </row>
    <row r="36" spans="4:5" ht="14.25" customHeight="1">
      <c r="D36" s="12"/>
      <c r="E36" s="12"/>
    </row>
    <row r="37" spans="4:5" ht="14.25" customHeight="1">
      <c r="D37" s="12"/>
      <c r="E37" s="12"/>
    </row>
    <row r="38" spans="4:5" ht="14.25" customHeight="1">
      <c r="D38" s="12"/>
      <c r="E38" s="12"/>
    </row>
    <row r="39" spans="4:5" ht="14.25" customHeight="1">
      <c r="D39" s="12"/>
      <c r="E39" s="12"/>
    </row>
    <row r="40" spans="4:5" ht="14.25" customHeight="1">
      <c r="D40" s="12"/>
      <c r="E40" s="12"/>
    </row>
    <row r="41" spans="4:5" ht="14.25" customHeight="1">
      <c r="D41" s="12"/>
      <c r="E41" s="12"/>
    </row>
    <row r="42" spans="4:5" ht="14.25" customHeight="1">
      <c r="D42" s="12"/>
      <c r="E42" s="12"/>
    </row>
    <row r="43" spans="4:5" ht="14.25" customHeight="1">
      <c r="D43" s="12"/>
      <c r="E43" s="12"/>
    </row>
  </sheetData>
  <sheetProtection/>
  <mergeCells count="9">
    <mergeCell ref="D29:E29"/>
    <mergeCell ref="D30:E30"/>
    <mergeCell ref="A8:B9"/>
    <mergeCell ref="C8:C9"/>
    <mergeCell ref="F27:G27"/>
    <mergeCell ref="F8:G8"/>
    <mergeCell ref="D28:E28"/>
    <mergeCell ref="D8:E8"/>
    <mergeCell ref="D27:E27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56" r:id="rId1"/>
  <headerFoot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="70" zoomScaleNormal="70" zoomScalePageLayoutView="0" workbookViewId="0" topLeftCell="A1">
      <selection activeCell="J27" sqref="J27"/>
    </sheetView>
  </sheetViews>
  <sheetFormatPr defaultColWidth="9.140625" defaultRowHeight="15"/>
  <cols>
    <col min="1" max="1" width="6.28125" style="0" bestFit="1" customWidth="1"/>
    <col min="2" max="2" width="33.00390625" style="0" customWidth="1"/>
    <col min="3" max="3" width="11.421875" style="0" customWidth="1"/>
    <col min="4" max="4" width="14.28125" style="0" customWidth="1"/>
    <col min="5" max="5" width="17.57421875" style="0" customWidth="1"/>
    <col min="6" max="6" width="20.57421875" style="0" bestFit="1" customWidth="1"/>
    <col min="7" max="7" width="17.57421875" style="0" customWidth="1"/>
    <col min="8" max="8" width="20.57421875" style="0" bestFit="1" customWidth="1"/>
    <col min="9" max="9" width="18.421875" style="0" customWidth="1"/>
    <col min="10" max="10" width="20.57421875" style="0" bestFit="1" customWidth="1"/>
    <col min="11" max="11" width="20.57421875" style="0" customWidth="1"/>
    <col min="12" max="12" width="23.57421875" style="0" customWidth="1"/>
  </cols>
  <sheetData>
    <row r="1" spans="1:12" ht="21" thickBot="1">
      <c r="A1" s="60"/>
      <c r="B1" s="255"/>
      <c r="C1" s="255"/>
      <c r="D1" s="62" t="s">
        <v>37</v>
      </c>
      <c r="E1" s="61"/>
      <c r="F1" s="60"/>
      <c r="G1" s="63"/>
      <c r="H1" s="63"/>
      <c r="I1" s="63"/>
      <c r="J1" s="63"/>
      <c r="K1" s="63"/>
      <c r="L1" s="63"/>
    </row>
    <row r="2" spans="1:12" ht="18.75">
      <c r="A2" s="64"/>
      <c r="B2" s="36"/>
      <c r="C2" s="36"/>
      <c r="D2" s="65" t="s">
        <v>162</v>
      </c>
      <c r="F2" s="65"/>
      <c r="G2" s="66"/>
      <c r="H2" s="66"/>
      <c r="I2" s="66"/>
      <c r="J2" s="66"/>
      <c r="K2" s="66"/>
      <c r="L2" s="68"/>
    </row>
    <row r="3" spans="1:12" ht="15">
      <c r="A3" s="37"/>
      <c r="B3" s="194" t="s">
        <v>173</v>
      </c>
      <c r="C3" s="256"/>
      <c r="D3" s="38"/>
      <c r="E3" s="38"/>
      <c r="F3" s="38"/>
      <c r="G3" s="38"/>
      <c r="H3" s="38"/>
      <c r="I3" s="38"/>
      <c r="J3" s="38"/>
      <c r="K3" s="38"/>
      <c r="L3" s="69"/>
    </row>
    <row r="4" spans="1:12" ht="15">
      <c r="A4" s="37"/>
      <c r="B4" s="195" t="s">
        <v>174</v>
      </c>
      <c r="C4" s="256"/>
      <c r="D4" s="41"/>
      <c r="F4" s="42"/>
      <c r="G4" s="41"/>
      <c r="H4" s="38"/>
      <c r="I4" s="41"/>
      <c r="J4" s="38"/>
      <c r="K4" s="38"/>
      <c r="L4" s="69"/>
    </row>
    <row r="5" spans="1:12" ht="15">
      <c r="A5" s="37"/>
      <c r="B5" s="38"/>
      <c r="D5" s="39"/>
      <c r="E5" s="39"/>
      <c r="F5" s="39"/>
      <c r="G5" s="39"/>
      <c r="H5" s="38"/>
      <c r="I5" s="39"/>
      <c r="J5" s="38"/>
      <c r="K5" s="38"/>
      <c r="L5" s="69"/>
    </row>
    <row r="6" spans="1:12" ht="18">
      <c r="A6" s="70"/>
      <c r="B6" s="44"/>
      <c r="D6" s="44" t="s">
        <v>76</v>
      </c>
      <c r="F6" s="44"/>
      <c r="G6" s="71"/>
      <c r="H6" s="44"/>
      <c r="I6" s="71"/>
      <c r="J6" s="44"/>
      <c r="K6" s="44"/>
      <c r="L6" s="72"/>
    </row>
    <row r="7" spans="1:12" ht="18.75" thickBot="1">
      <c r="A7" s="45"/>
      <c r="B7" s="46"/>
      <c r="C7" s="46"/>
      <c r="D7" s="46"/>
      <c r="E7" s="47"/>
      <c r="F7" s="46"/>
      <c r="G7" s="47"/>
      <c r="H7" s="46"/>
      <c r="I7" s="47"/>
      <c r="J7" s="46"/>
      <c r="K7" s="46"/>
      <c r="L7" s="73"/>
    </row>
    <row r="8" spans="3:12" ht="15">
      <c r="C8" s="205" t="s">
        <v>22</v>
      </c>
      <c r="D8" s="122"/>
      <c r="E8" s="282" t="s">
        <v>80</v>
      </c>
      <c r="F8" s="283"/>
      <c r="G8" s="282" t="s">
        <v>166</v>
      </c>
      <c r="H8" s="283"/>
      <c r="I8" s="282" t="s">
        <v>158</v>
      </c>
      <c r="J8" s="283"/>
      <c r="K8" s="169"/>
      <c r="L8" s="264"/>
    </row>
    <row r="9" spans="3:12" ht="15">
      <c r="C9" s="123" t="s">
        <v>17</v>
      </c>
      <c r="D9" s="124"/>
      <c r="E9" s="284" t="s">
        <v>19</v>
      </c>
      <c r="F9" s="285"/>
      <c r="G9" s="288" t="s">
        <v>169</v>
      </c>
      <c r="H9" s="289"/>
      <c r="I9" s="288" t="s">
        <v>161</v>
      </c>
      <c r="J9" s="289"/>
      <c r="K9" s="170"/>
      <c r="L9" s="39"/>
    </row>
    <row r="10" spans="3:12" ht="15" customHeight="1">
      <c r="C10" s="125" t="s">
        <v>20</v>
      </c>
      <c r="D10" s="126"/>
      <c r="E10" s="284" t="s">
        <v>78</v>
      </c>
      <c r="F10" s="285"/>
      <c r="G10" s="284" t="s">
        <v>167</v>
      </c>
      <c r="H10" s="285"/>
      <c r="I10" s="284" t="s">
        <v>159</v>
      </c>
      <c r="J10" s="285"/>
      <c r="K10" s="170"/>
      <c r="L10" s="39"/>
    </row>
    <row r="11" spans="3:12" ht="15" customHeight="1">
      <c r="C11" s="125" t="s">
        <v>18</v>
      </c>
      <c r="D11" s="126"/>
      <c r="E11" s="284" t="s">
        <v>79</v>
      </c>
      <c r="F11" s="285"/>
      <c r="G11" s="288" t="s">
        <v>168</v>
      </c>
      <c r="H11" s="289"/>
      <c r="I11" s="288" t="s">
        <v>160</v>
      </c>
      <c r="J11" s="289"/>
      <c r="K11" s="170"/>
      <c r="L11" s="39"/>
    </row>
    <row r="12" spans="3:12" ht="15">
      <c r="C12" s="125" t="s">
        <v>21</v>
      </c>
      <c r="D12" s="126"/>
      <c r="E12" s="296">
        <v>44221</v>
      </c>
      <c r="F12" s="297"/>
      <c r="G12" s="286">
        <v>44291</v>
      </c>
      <c r="H12" s="287"/>
      <c r="I12" s="286">
        <v>44285</v>
      </c>
      <c r="J12" s="287"/>
      <c r="K12" s="171"/>
      <c r="L12" s="265"/>
    </row>
    <row r="13" spans="1:12" ht="45">
      <c r="A13" s="4" t="s">
        <v>1</v>
      </c>
      <c r="B13" s="4" t="s">
        <v>2</v>
      </c>
      <c r="C13" s="24" t="s">
        <v>4</v>
      </c>
      <c r="D13" s="23" t="s">
        <v>3</v>
      </c>
      <c r="E13" s="25" t="s">
        <v>86</v>
      </c>
      <c r="F13" s="25" t="s">
        <v>23</v>
      </c>
      <c r="G13" s="25" t="s">
        <v>86</v>
      </c>
      <c r="H13" s="26" t="s">
        <v>23</v>
      </c>
      <c r="I13" s="25" t="s">
        <v>86</v>
      </c>
      <c r="J13" s="26" t="s">
        <v>23</v>
      </c>
      <c r="K13" s="25" t="s">
        <v>171</v>
      </c>
      <c r="L13" s="25" t="s">
        <v>182</v>
      </c>
    </row>
    <row r="14" spans="1:12" ht="28.5">
      <c r="A14" s="19" t="s">
        <v>81</v>
      </c>
      <c r="B14" s="20" t="s">
        <v>120</v>
      </c>
      <c r="C14" s="204">
        <f>orcamento!E11</f>
        <v>1</v>
      </c>
      <c r="D14" s="21" t="s">
        <v>7</v>
      </c>
      <c r="E14" s="243">
        <f>ROUNDDOWN(20000*(1+16.15%),2)</f>
        <v>23230</v>
      </c>
      <c r="F14" s="18">
        <f aca="true" t="shared" si="0" ref="F14:F21">C14*E14</f>
        <v>23230</v>
      </c>
      <c r="G14" s="7">
        <v>6000</v>
      </c>
      <c r="H14" s="17">
        <f>C14*G14</f>
        <v>6000</v>
      </c>
      <c r="I14" s="7">
        <v>7000</v>
      </c>
      <c r="J14" s="17">
        <f>C14*I14</f>
        <v>7000</v>
      </c>
      <c r="K14" s="263">
        <f>G14</f>
        <v>6000</v>
      </c>
      <c r="L14" s="27">
        <f>ROUND(K14*(1+orcamento!$E$34),2)</f>
        <v>6112.52</v>
      </c>
    </row>
    <row r="15" spans="1:12" ht="15">
      <c r="A15" s="14" t="s">
        <v>82</v>
      </c>
      <c r="B15" s="16" t="s">
        <v>43</v>
      </c>
      <c r="C15" s="22">
        <f>orcamento!E12</f>
        <v>20</v>
      </c>
      <c r="D15" s="15" t="s">
        <v>7</v>
      </c>
      <c r="E15" s="244">
        <f>ROUNDDOWN(350*(1+16.15%),2)</f>
        <v>406.52</v>
      </c>
      <c r="F15" s="18">
        <f t="shared" si="0"/>
        <v>8130.4</v>
      </c>
      <c r="G15" s="7">
        <v>100</v>
      </c>
      <c r="H15" s="17">
        <f aca="true" t="shared" si="1" ref="H15:H21">C15*G15</f>
        <v>2000</v>
      </c>
      <c r="I15" s="7">
        <v>50</v>
      </c>
      <c r="J15" s="17">
        <f aca="true" t="shared" si="2" ref="J15:J21">C15*I15</f>
        <v>1000</v>
      </c>
      <c r="K15" s="263">
        <f aca="true" t="shared" si="3" ref="K15:K21">G15</f>
        <v>100</v>
      </c>
      <c r="L15" s="27">
        <f>ROUND(K15*(1+orcamento!$E$34),2)</f>
        <v>101.88</v>
      </c>
    </row>
    <row r="16" spans="1:12" ht="15">
      <c r="A16" s="19" t="s">
        <v>101</v>
      </c>
      <c r="B16" s="16" t="s">
        <v>110</v>
      </c>
      <c r="C16" s="22">
        <f>orcamento!E13</f>
        <v>6</v>
      </c>
      <c r="D16" s="21" t="s">
        <v>7</v>
      </c>
      <c r="E16" s="244">
        <f>ROUNDDOWN(410*(1+16.15%),2)</f>
        <v>476.21</v>
      </c>
      <c r="F16" s="18">
        <f t="shared" si="0"/>
        <v>2857.2599999999998</v>
      </c>
      <c r="G16" s="7">
        <v>150</v>
      </c>
      <c r="H16" s="17">
        <f t="shared" si="1"/>
        <v>900</v>
      </c>
      <c r="I16" s="7">
        <v>70</v>
      </c>
      <c r="J16" s="17">
        <f t="shared" si="2"/>
        <v>420</v>
      </c>
      <c r="K16" s="263">
        <f t="shared" si="3"/>
        <v>150</v>
      </c>
      <c r="L16" s="27">
        <f>ROUND(K16*(1+orcamento!$E$34),2)</f>
        <v>152.81</v>
      </c>
    </row>
    <row r="17" spans="1:12" ht="15">
      <c r="A17" s="14" t="s">
        <v>83</v>
      </c>
      <c r="B17" s="16" t="s">
        <v>44</v>
      </c>
      <c r="C17" s="22">
        <f>orcamento!E14</f>
        <v>8</v>
      </c>
      <c r="D17" s="21" t="s">
        <v>7</v>
      </c>
      <c r="E17" s="245">
        <f>ROUNDDOWN(350*(1+16.15%),2)</f>
        <v>406.52</v>
      </c>
      <c r="F17" s="18">
        <f t="shared" si="0"/>
        <v>3252.16</v>
      </c>
      <c r="G17" s="7">
        <v>100</v>
      </c>
      <c r="H17" s="17">
        <f t="shared" si="1"/>
        <v>800</v>
      </c>
      <c r="I17" s="7">
        <v>40</v>
      </c>
      <c r="J17" s="17">
        <f t="shared" si="2"/>
        <v>320</v>
      </c>
      <c r="K17" s="263">
        <f t="shared" si="3"/>
        <v>100</v>
      </c>
      <c r="L17" s="27">
        <f>ROUND(K17*(1+orcamento!$E$34),2)</f>
        <v>101.88</v>
      </c>
    </row>
    <row r="18" spans="1:12" ht="15">
      <c r="A18" s="19" t="s">
        <v>84</v>
      </c>
      <c r="B18" s="16" t="s">
        <v>45</v>
      </c>
      <c r="C18" s="22">
        <f>orcamento!E15</f>
        <v>4</v>
      </c>
      <c r="D18" s="21" t="s">
        <v>7</v>
      </c>
      <c r="E18" s="244">
        <f>ROUNDDOWN(485*(1+16.15%),2)</f>
        <v>563.32</v>
      </c>
      <c r="F18" s="18">
        <f t="shared" si="0"/>
        <v>2253.28</v>
      </c>
      <c r="G18" s="7">
        <v>200</v>
      </c>
      <c r="H18" s="17">
        <f t="shared" si="1"/>
        <v>800</v>
      </c>
      <c r="I18" s="7">
        <v>45</v>
      </c>
      <c r="J18" s="17">
        <f t="shared" si="2"/>
        <v>180</v>
      </c>
      <c r="K18" s="263">
        <f t="shared" si="3"/>
        <v>200</v>
      </c>
      <c r="L18" s="27">
        <f>ROUND(K18*(1+orcamento!$E$34),2)</f>
        <v>203.75</v>
      </c>
    </row>
    <row r="19" spans="1:12" ht="15">
      <c r="A19" s="14" t="s">
        <v>85</v>
      </c>
      <c r="B19" s="16" t="s">
        <v>46</v>
      </c>
      <c r="C19" s="22">
        <f>orcamento!E16</f>
        <v>4</v>
      </c>
      <c r="D19" s="21" t="s">
        <v>7</v>
      </c>
      <c r="E19" s="244">
        <f>ROUNDDOWN(225*(1+16.15%),2)</f>
        <v>261.33</v>
      </c>
      <c r="F19" s="18">
        <f t="shared" si="0"/>
        <v>1045.32</v>
      </c>
      <c r="G19" s="7">
        <v>250</v>
      </c>
      <c r="H19" s="17">
        <f t="shared" si="1"/>
        <v>1000</v>
      </c>
      <c r="I19" s="7">
        <v>60</v>
      </c>
      <c r="J19" s="17">
        <f t="shared" si="2"/>
        <v>240</v>
      </c>
      <c r="K19" s="263">
        <f t="shared" si="3"/>
        <v>250</v>
      </c>
      <c r="L19" s="27">
        <f>ROUND(K19*(1+orcamento!$E$34),2)</f>
        <v>254.69</v>
      </c>
    </row>
    <row r="20" spans="1:12" ht="15">
      <c r="A20" s="14" t="s">
        <v>118</v>
      </c>
      <c r="B20" s="16" t="s">
        <v>47</v>
      </c>
      <c r="C20" s="22">
        <f>orcamento!E17</f>
        <v>4</v>
      </c>
      <c r="D20" s="15" t="s">
        <v>7</v>
      </c>
      <c r="E20" s="244">
        <f>ROUNDDOWN(300*(1+16.15%),2)</f>
        <v>348.45</v>
      </c>
      <c r="F20" s="18">
        <f t="shared" si="0"/>
        <v>1393.8</v>
      </c>
      <c r="G20" s="7">
        <v>260</v>
      </c>
      <c r="H20" s="17">
        <f t="shared" si="1"/>
        <v>1040</v>
      </c>
      <c r="I20" s="7">
        <v>100</v>
      </c>
      <c r="J20" s="17">
        <f t="shared" si="2"/>
        <v>400</v>
      </c>
      <c r="K20" s="263">
        <f t="shared" si="3"/>
        <v>260</v>
      </c>
      <c r="L20" s="27">
        <f>ROUND(K20*(1+orcamento!$E$34),2)</f>
        <v>264.88</v>
      </c>
    </row>
    <row r="21" spans="1:12" ht="29.25" customHeight="1">
      <c r="A21" s="14" t="s">
        <v>119</v>
      </c>
      <c r="B21" s="160" t="s">
        <v>100</v>
      </c>
      <c r="C21" s="22">
        <f>orcamento!E18</f>
        <v>6</v>
      </c>
      <c r="D21" s="15" t="s">
        <v>7</v>
      </c>
      <c r="E21" s="245">
        <f>ROUNDDOWN(180*(1+16.15%),2)</f>
        <v>209.07</v>
      </c>
      <c r="F21" s="18">
        <f t="shared" si="0"/>
        <v>1254.42</v>
      </c>
      <c r="G21" s="7">
        <v>250</v>
      </c>
      <c r="H21" s="17">
        <f t="shared" si="1"/>
        <v>1500</v>
      </c>
      <c r="I21" s="7">
        <v>180</v>
      </c>
      <c r="J21" s="17">
        <f t="shared" si="2"/>
        <v>1080</v>
      </c>
      <c r="K21" s="263">
        <f t="shared" si="3"/>
        <v>250</v>
      </c>
      <c r="L21" s="27">
        <f>ROUND(K21*(1+orcamento!$E$34),2)</f>
        <v>254.69</v>
      </c>
    </row>
    <row r="22" spans="2:12" s="28" customFormat="1" ht="15">
      <c r="B22"/>
      <c r="C22" s="290" t="s">
        <v>172</v>
      </c>
      <c r="D22" s="291"/>
      <c r="E22" s="294">
        <f>SUM(F14:F21)</f>
        <v>43416.64000000001</v>
      </c>
      <c r="F22" s="295"/>
      <c r="G22" s="292">
        <f>SUM(H13:H21)</f>
        <v>14040</v>
      </c>
      <c r="H22" s="293"/>
      <c r="I22" s="292">
        <f>SUM(J13:J21)</f>
        <v>10640</v>
      </c>
      <c r="J22" s="293"/>
      <c r="K22"/>
      <c r="L22"/>
    </row>
  </sheetData>
  <sheetProtection/>
  <mergeCells count="19">
    <mergeCell ref="C22:D22"/>
    <mergeCell ref="I22:J22"/>
    <mergeCell ref="E10:F10"/>
    <mergeCell ref="E11:F11"/>
    <mergeCell ref="G22:H22"/>
    <mergeCell ref="E22:F22"/>
    <mergeCell ref="G10:H10"/>
    <mergeCell ref="I10:J10"/>
    <mergeCell ref="I11:J11"/>
    <mergeCell ref="E12:F12"/>
    <mergeCell ref="E8:F8"/>
    <mergeCell ref="E9:F9"/>
    <mergeCell ref="I12:J12"/>
    <mergeCell ref="G11:H11"/>
    <mergeCell ref="G12:H12"/>
    <mergeCell ref="I8:J8"/>
    <mergeCell ref="I9:J9"/>
    <mergeCell ref="G8:H8"/>
    <mergeCell ref="G9:H9"/>
  </mergeCells>
  <hyperlinks>
    <hyperlink ref="E10" r:id="rId1" display="contato@ipmate.com.br"/>
    <hyperlink ref="I10" r:id="rId2" display="moreira@brukesa.com"/>
    <hyperlink ref="G10" r:id="rId3" display="suporte@concretus.com.br"/>
  </hyperlinks>
  <printOptions/>
  <pageMargins left="0.511811024" right="0.511811024" top="0.787401575" bottom="0.787401575" header="0.31496062" footer="0.31496062"/>
  <pageSetup horizontalDpi="600" verticalDpi="600"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="85" zoomScaleNormal="85" zoomScalePageLayoutView="0" workbookViewId="0" topLeftCell="A1">
      <selection activeCell="D23" sqref="D23"/>
    </sheetView>
  </sheetViews>
  <sheetFormatPr defaultColWidth="9.140625" defaultRowHeight="15"/>
  <cols>
    <col min="1" max="1" width="68.28125" style="0" customWidth="1"/>
    <col min="2" max="2" width="18.8515625" style="0" customWidth="1"/>
    <col min="3" max="3" width="19.28125" style="0" bestFit="1" customWidth="1"/>
    <col min="4" max="4" width="17.421875" style="0" bestFit="1" customWidth="1"/>
  </cols>
  <sheetData>
    <row r="1" spans="1:4" s="34" customFormat="1" ht="21" thickBot="1">
      <c r="A1" s="33" t="s">
        <v>37</v>
      </c>
      <c r="B1" s="33"/>
      <c r="C1" s="33"/>
      <c r="D1" s="33"/>
    </row>
    <row r="2" spans="1:4" s="34" customFormat="1" ht="18.75">
      <c r="A2" s="257" t="s">
        <v>162</v>
      </c>
      <c r="B2" s="36"/>
      <c r="C2" s="36"/>
      <c r="D2" s="232"/>
    </row>
    <row r="3" spans="1:4" s="34" customFormat="1" ht="15" customHeight="1">
      <c r="A3" s="258" t="s">
        <v>173</v>
      </c>
      <c r="B3" s="38"/>
      <c r="C3" s="38"/>
      <c r="D3" s="40"/>
    </row>
    <row r="4" spans="1:4" s="34" customFormat="1" ht="15">
      <c r="A4" s="259" t="s">
        <v>174</v>
      </c>
      <c r="B4" s="38"/>
      <c r="C4" s="38"/>
      <c r="D4" s="40"/>
    </row>
    <row r="5" spans="1:4" s="34" customFormat="1" ht="14.25">
      <c r="A5" s="233"/>
      <c r="B5" s="38"/>
      <c r="C5" s="38"/>
      <c r="D5" s="40"/>
    </row>
    <row r="6" spans="1:4" s="34" customFormat="1" ht="18">
      <c r="A6" s="70" t="s">
        <v>163</v>
      </c>
      <c r="B6" s="43"/>
      <c r="C6" s="43"/>
      <c r="D6" s="234"/>
    </row>
    <row r="7" spans="1:4" s="34" customFormat="1" ht="18.75" thickBot="1">
      <c r="A7" s="45"/>
      <c r="B7" s="46"/>
      <c r="C7" s="46"/>
      <c r="D7" s="48"/>
    </row>
    <row r="8" spans="1:4" s="2" customFormat="1" ht="19.5" customHeight="1">
      <c r="A8" s="235" t="s">
        <v>170</v>
      </c>
      <c r="B8" s="236" t="s">
        <v>5</v>
      </c>
      <c r="C8" s="236" t="s">
        <v>164</v>
      </c>
      <c r="D8" s="236" t="s">
        <v>165</v>
      </c>
    </row>
    <row r="9" spans="1:4" ht="28.5">
      <c r="A9" s="237" t="s">
        <v>175</v>
      </c>
      <c r="B9" s="238">
        <v>19853.82</v>
      </c>
      <c r="C9" s="239">
        <f aca="true" t="shared" si="0" ref="C9:C20">B9/$B$21</f>
        <v>0.3319831381670364</v>
      </c>
      <c r="D9" s="240">
        <f>C9</f>
        <v>0.3319831381670364</v>
      </c>
    </row>
    <row r="10" spans="1:4" s="2" customFormat="1" ht="14.25" customHeight="1">
      <c r="A10" s="237" t="s">
        <v>107</v>
      </c>
      <c r="B10" s="238">
        <v>9027.71</v>
      </c>
      <c r="C10" s="239">
        <f t="shared" si="0"/>
        <v>0.15095571009820458</v>
      </c>
      <c r="D10" s="240">
        <f>C10+D9</f>
        <v>0.48293884826524097</v>
      </c>
    </row>
    <row r="11" spans="1:4" ht="15">
      <c r="A11" s="237" t="s">
        <v>106</v>
      </c>
      <c r="B11" s="238">
        <v>7907.33</v>
      </c>
      <c r="C11" s="239">
        <f t="shared" si="0"/>
        <v>0.13222141773836732</v>
      </c>
      <c r="D11" s="240">
        <f>C11+D10</f>
        <v>0.6151602660036083</v>
      </c>
    </row>
    <row r="12" spans="1:4" ht="15">
      <c r="A12" s="237" t="s">
        <v>99</v>
      </c>
      <c r="B12" s="238">
        <v>7052.62</v>
      </c>
      <c r="C12" s="239">
        <f t="shared" si="0"/>
        <v>0.11792949265680884</v>
      </c>
      <c r="D12" s="240">
        <f aca="true" t="shared" si="1" ref="D12:D20">C12+D11</f>
        <v>0.7330897586604171</v>
      </c>
    </row>
    <row r="13" spans="1:4" ht="15">
      <c r="A13" s="237" t="s">
        <v>108</v>
      </c>
      <c r="B13" s="238">
        <v>6511.88</v>
      </c>
      <c r="C13" s="239">
        <f t="shared" si="0"/>
        <v>0.10888757719004007</v>
      </c>
      <c r="D13" s="240">
        <f t="shared" si="1"/>
        <v>0.8419773358504572</v>
      </c>
    </row>
    <row r="14" spans="1:4" ht="15">
      <c r="A14" s="237" t="s">
        <v>43</v>
      </c>
      <c r="B14" s="238">
        <v>2350.8</v>
      </c>
      <c r="C14" s="239">
        <f t="shared" si="0"/>
        <v>0.03930860465155166</v>
      </c>
      <c r="D14" s="240">
        <f t="shared" si="1"/>
        <v>0.8812859405020088</v>
      </c>
    </row>
    <row r="15" spans="1:4" ht="15" customHeight="1">
      <c r="A15" s="237" t="s">
        <v>100</v>
      </c>
      <c r="B15" s="238">
        <v>1763.16</v>
      </c>
      <c r="C15" s="239">
        <f t="shared" si="0"/>
        <v>0.029482456771069344</v>
      </c>
      <c r="D15" s="240">
        <f t="shared" si="1"/>
        <v>0.9107683972730781</v>
      </c>
    </row>
    <row r="16" spans="1:4" ht="15" customHeight="1">
      <c r="A16" s="237" t="s">
        <v>47</v>
      </c>
      <c r="B16" s="238">
        <v>1222.44</v>
      </c>
      <c r="C16" s="239">
        <f t="shared" si="0"/>
        <v>0.0204408757317691</v>
      </c>
      <c r="D16" s="240">
        <f t="shared" si="1"/>
        <v>0.9312092730048472</v>
      </c>
    </row>
    <row r="17" spans="1:4" ht="15" customHeight="1">
      <c r="A17" s="237" t="s">
        <v>46</v>
      </c>
      <c r="B17" s="238">
        <v>1175.44</v>
      </c>
      <c r="C17" s="239">
        <f t="shared" si="0"/>
        <v>0.019654971180712896</v>
      </c>
      <c r="D17" s="240">
        <f t="shared" si="1"/>
        <v>0.9508642441855601</v>
      </c>
    </row>
    <row r="18" spans="1:4" ht="15" customHeight="1">
      <c r="A18" s="237" t="s">
        <v>110</v>
      </c>
      <c r="B18" s="238">
        <v>1057.86</v>
      </c>
      <c r="C18" s="239">
        <f t="shared" si="0"/>
        <v>0.017688872093198242</v>
      </c>
      <c r="D18" s="240">
        <f t="shared" si="1"/>
        <v>0.9685531162787584</v>
      </c>
    </row>
    <row r="19" spans="1:4" ht="15" customHeight="1">
      <c r="A19" s="237" t="s">
        <v>44</v>
      </c>
      <c r="B19" s="238">
        <v>940.32</v>
      </c>
      <c r="C19" s="239">
        <f t="shared" si="0"/>
        <v>0.015723441860620663</v>
      </c>
      <c r="D19" s="240">
        <f t="shared" si="1"/>
        <v>0.9842765581393791</v>
      </c>
    </row>
    <row r="20" spans="1:4" ht="15" customHeight="1">
      <c r="A20" s="237" t="s">
        <v>45</v>
      </c>
      <c r="B20" s="238">
        <v>940.32</v>
      </c>
      <c r="C20" s="239">
        <f t="shared" si="0"/>
        <v>0.015723441860620663</v>
      </c>
      <c r="D20" s="240">
        <f t="shared" si="1"/>
        <v>0.9999999999999998</v>
      </c>
    </row>
    <row r="21" spans="1:4" ht="15">
      <c r="A21" s="241" t="s">
        <v>9</v>
      </c>
      <c r="B21" s="242">
        <f>SUM(B9:B20)</f>
        <v>59803.70000000001</v>
      </c>
      <c r="C21" s="9"/>
      <c r="D21" s="9"/>
    </row>
    <row r="22" spans="2:4" ht="15">
      <c r="B22" s="9"/>
      <c r="C22" s="9"/>
      <c r="D22" s="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Demitrio Rabelo Fleck</dc:creator>
  <cp:keywords/>
  <dc:description/>
  <cp:lastModifiedBy>Usuario</cp:lastModifiedBy>
  <cp:lastPrinted>2018-05-09T18:22:35Z</cp:lastPrinted>
  <dcterms:created xsi:type="dcterms:W3CDTF">2018-05-09T17:55:14Z</dcterms:created>
  <dcterms:modified xsi:type="dcterms:W3CDTF">2021-10-01T10:20:29Z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