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Orcamento" sheetId="1" r:id="rId1"/>
    <sheet name="Composicoes" sheetId="2" r:id="rId2"/>
    <sheet name="Cronograma" sheetId="3" r:id="rId3"/>
    <sheet name="Quantitativo" sheetId="4" r:id="rId4"/>
    <sheet name="Curva ABC" sheetId="5" r:id="rId5"/>
  </sheets>
  <definedNames/>
  <calcPr fullCalcOnLoad="1"/>
</workbook>
</file>

<file path=xl/sharedStrings.xml><?xml version="1.0" encoding="utf-8"?>
<sst xmlns="http://schemas.openxmlformats.org/spreadsheetml/2006/main" count="3777" uniqueCount="425">
  <si>
    <t>ORÇAMENTO</t>
  </si>
  <si>
    <t>ITEM</t>
  </si>
  <si>
    <t>DESCRIÇÃO</t>
  </si>
  <si>
    <t>UNID.</t>
  </si>
  <si>
    <t>CUSTO UNITARIO</t>
  </si>
  <si>
    <t>BDI</t>
  </si>
  <si>
    <t>PREÇO TOTAL</t>
  </si>
  <si>
    <t>1.1</t>
  </si>
  <si>
    <t>CCU 01</t>
  </si>
  <si>
    <t>1.2</t>
  </si>
  <si>
    <t>und</t>
  </si>
  <si>
    <t>2.1</t>
  </si>
  <si>
    <t>CCU 02</t>
  </si>
  <si>
    <t>2.2</t>
  </si>
  <si>
    <t>CCU 03</t>
  </si>
  <si>
    <t>CCU 05</t>
  </si>
  <si>
    <t>3.1</t>
  </si>
  <si>
    <t>CCU 06</t>
  </si>
  <si>
    <t>CCU 07</t>
  </si>
  <si>
    <t>CCU 09</t>
  </si>
  <si>
    <t>CCU 10</t>
  </si>
  <si>
    <t>CCU 12</t>
  </si>
  <si>
    <t>CCU 13</t>
  </si>
  <si>
    <t>CCU 14</t>
  </si>
  <si>
    <t>Notas:</t>
  </si>
  <si>
    <t>DATA REFERENCIA TÉCNICA:</t>
  </si>
  <si>
    <t>Engº Civil Demitrio Fleck</t>
  </si>
  <si>
    <t>CREA RS 145877</t>
  </si>
  <si>
    <t>COMPOSIÇÃO DE CUSTOS UNITÁRIOS</t>
  </si>
  <si>
    <t>CÓDIGO:</t>
  </si>
  <si>
    <t>DESCRIÇÃO:</t>
  </si>
  <si>
    <t>UNIDADE</t>
  </si>
  <si>
    <t>QUANT.</t>
  </si>
  <si>
    <t>REFERENCIA</t>
  </si>
  <si>
    <t>CHP</t>
  </si>
  <si>
    <t>TOTAL</t>
  </si>
  <si>
    <t>A4 - Plotagem em Papel Comum - Preto/Branco</t>
  </si>
  <si>
    <t>A1 - Plotagem em Papel Comum - Preto/Branco</t>
  </si>
  <si>
    <t>ENGENHEIRO CIVIL PLENO COM ENCARGOS COMPLEMENTARES</t>
  </si>
  <si>
    <t>ENGENHEIRO ELETRICISTA COM ENCARGOS COMPLEMENTARES</t>
  </si>
  <si>
    <t>Taxa Corpo de Bombeiros (Analise PPCI)</t>
  </si>
  <si>
    <t>UPF/RS</t>
  </si>
  <si>
    <t>Secret. Fazenda RS</t>
  </si>
  <si>
    <t>A1 - Plotagem em Papel Comum - Colorida</t>
  </si>
  <si>
    <t>CRONOGRAMA FÍSICO - FINANCEIRO</t>
  </si>
  <si>
    <t>R$</t>
  </si>
  <si>
    <t>1.3</t>
  </si>
  <si>
    <t>Projeto Elétrico</t>
  </si>
  <si>
    <t>Documento de Responsabilidade Técnica</t>
  </si>
  <si>
    <t>CCU 15</t>
  </si>
  <si>
    <t>CCU 16</t>
  </si>
  <si>
    <t>SERVENTE COM ENCARGOS COMPLEMENTARES</t>
  </si>
  <si>
    <t>3.2</t>
  </si>
  <si>
    <t>Elaboração e Aprovação do Plano e do Projeto Executivo de Prevenção e Proteção Contra Incêndios</t>
  </si>
  <si>
    <t>ENGENHEIRO MECÂNICO COM ENCARGOS COMPLEMENTARES</t>
  </si>
  <si>
    <t>Veículo leve</t>
  </si>
  <si>
    <t>Investigações Geotécnicas</t>
  </si>
  <si>
    <t>3.1.1</t>
  </si>
  <si>
    <t>Cadastro Redes de abastecimento e de infraestrutura (DEP/DMAE/PROCEMPA/CEEE)</t>
  </si>
  <si>
    <t>TÉCNICO DE SONDAGEM COM ENCARGOS COMPLEMENTARES</t>
  </si>
  <si>
    <t>CHI</t>
  </si>
  <si>
    <t>ENCARGOS SOCIAIS: 111,10% horista (Não desonerado)</t>
  </si>
  <si>
    <t>SICRO</t>
  </si>
  <si>
    <t>E9093</t>
  </si>
  <si>
    <t>SINAPI</t>
  </si>
  <si>
    <t>FONTE</t>
  </si>
  <si>
    <t>CÓDIGO</t>
  </si>
  <si>
    <t>PREFEITURA MUNICIPAL DE PORTO ALEGRE</t>
  </si>
  <si>
    <t>COMPOSIÇÃO</t>
  </si>
  <si>
    <t>CUSTO TOTAL:</t>
  </si>
  <si>
    <t>UNIDADE:</t>
  </si>
  <si>
    <t xml:space="preserve"> TOTAL</t>
  </si>
  <si>
    <t>TOTAL ACUM.</t>
  </si>
  <si>
    <t>AUXILIAR DE TOPÓGRAFO COM ENCARGOS COMPLEMENTARES</t>
  </si>
  <si>
    <t>SINAPI 78472</t>
  </si>
  <si>
    <t>DESENHISTA DETALHISTA COM ENCARGOS COMPLEMENTARES</t>
  </si>
  <si>
    <t>CAMINHONETE CABINE SIMPLES COM MOTOR 1.6 FLEX, CÂMBIO MANUAL, POTÊNCIA 101/104 CV, 2 PORTAS</t>
  </si>
  <si>
    <t>COTAÇÃO</t>
  </si>
  <si>
    <t>Projeto de Fundações</t>
  </si>
  <si>
    <t>H</t>
  </si>
  <si>
    <t xml:space="preserve">Microcomputador + Sistema operacional + Office + No-break </t>
  </si>
  <si>
    <t>MÊS</t>
  </si>
  <si>
    <t>DAER Tabela Supervisão</t>
  </si>
  <si>
    <t>AUTODESK AUTOCAD - 2016 (SIMILAR OU SUPERIOR)</t>
  </si>
  <si>
    <t>ANO</t>
  </si>
  <si>
    <t>SUDECAP</t>
  </si>
  <si>
    <t>93.22.10</t>
  </si>
  <si>
    <t>7.03</t>
  </si>
  <si>
    <t>7.04</t>
  </si>
  <si>
    <t>7.14</t>
  </si>
  <si>
    <t>4.1</t>
  </si>
  <si>
    <t>4.2</t>
  </si>
  <si>
    <t xml:space="preserve">SINAPI </t>
  </si>
  <si>
    <t>CAMINHONETE CABINE SIMPLES COM MOTOR 1.6 FLEX, CÂMBIO MANUAL, POTÊNCIA 101/104 CV, 2 PORTAS - CHP DIURNO</t>
  </si>
  <si>
    <t>CAMINHONETE CABINE SIMPLES COM MOTOR 1.6 FLEX, CÂMBIO MANUAL, POTÊNCIA 101/104 CV, 2 PORTAS - CHI DIURNO</t>
  </si>
  <si>
    <t>UND</t>
  </si>
  <si>
    <t>Prospecção fundação</t>
  </si>
  <si>
    <t>5.1</t>
  </si>
  <si>
    <t>5.2</t>
  </si>
  <si>
    <t>6.1</t>
  </si>
  <si>
    <t>6.2</t>
  </si>
  <si>
    <t>Estação Total</t>
  </si>
  <si>
    <t>3.2.2</t>
  </si>
  <si>
    <t>Em campo</t>
  </si>
  <si>
    <t>No escritorio</t>
  </si>
  <si>
    <r>
      <rPr>
        <b/>
        <sz val="11"/>
        <color indexed="8"/>
        <rFont val="Calibri"/>
        <family val="2"/>
      </rPr>
      <t xml:space="preserve">Endereço: </t>
    </r>
    <r>
      <rPr>
        <sz val="11"/>
        <color indexed="8"/>
        <rFont val="Calibri"/>
        <family val="2"/>
      </rPr>
      <t>DIVERSOS</t>
    </r>
    <r>
      <rPr>
        <sz val="11"/>
        <color theme="1"/>
        <rFont val="Calibri"/>
        <family val="2"/>
      </rPr>
      <t xml:space="preserve"> - PORTO ALEGRE - RS</t>
    </r>
  </si>
  <si>
    <t>TIPO</t>
  </si>
  <si>
    <t>A</t>
  </si>
  <si>
    <t>Creche Clara Nunes</t>
  </si>
  <si>
    <t>Colinas da Baltazar</t>
  </si>
  <si>
    <t>B</t>
  </si>
  <si>
    <t>Irmãos Maristas</t>
  </si>
  <si>
    <t>C</t>
  </si>
  <si>
    <t>Jardim Leopoldina II</t>
  </si>
  <si>
    <t>Jardim Urubatã</t>
  </si>
  <si>
    <t>Moradas da Hípica</t>
  </si>
  <si>
    <t>Raul Cauduro</t>
  </si>
  <si>
    <t>Projeto de Climatização e Ventilação Mecânica</t>
  </si>
  <si>
    <t>Projeto de Prevenção Contra Incêndio</t>
  </si>
  <si>
    <t>Projeto Hidrossanitário</t>
  </si>
  <si>
    <t>Total Mensal</t>
  </si>
  <si>
    <t>Total Acumulado</t>
  </si>
  <si>
    <t>1.4</t>
  </si>
  <si>
    <t>1.5</t>
  </si>
  <si>
    <t>1.6</t>
  </si>
  <si>
    <t>ENGENHEIRO CIVIL SENIOR COM ENCARGOS COMPLEMENTARES (Coordenador)</t>
  </si>
  <si>
    <t>CREA RS</t>
  </si>
  <si>
    <t>8.1</t>
  </si>
  <si>
    <t>8.2</t>
  </si>
  <si>
    <t>Projeto Estrutural</t>
  </si>
  <si>
    <t>Resol. Tecnica #5, Parte 5, Tabela 2, Anexo A - ate 999m²</t>
  </si>
  <si>
    <t>2h(ida+volta)x1dia</t>
  </si>
  <si>
    <t>8hx1diax1func</t>
  </si>
  <si>
    <t>8hx1diax2func</t>
  </si>
  <si>
    <t>6hx1dia</t>
  </si>
  <si>
    <t>AREA EDIFICAÇÃO (m2)</t>
  </si>
  <si>
    <t>AREA
CERCAMENTO
(m2)</t>
  </si>
  <si>
    <t>AUXILIAR DE LABORATÓRIO COM ENCARGOS COMPLEMENTARES</t>
  </si>
  <si>
    <t>TÉCNICO DE LABORATÓRIO COM ENCARGOS COMPLEMENTARES</t>
  </si>
  <si>
    <t>Cadastro Redes de Abastecimento e de Infraestrutura (DEP/DMAE/PROCEMPA/CEEE)</t>
  </si>
  <si>
    <t>ARGAMASSA TRAÇO 1:3 (EM VOLUME DE CIMENTO E AREIA GROSSA ÚMIDA) COM ADIÇÃO DE EMULSÃO POLIMÉRICA PARA CHAPISCO ROLADO, PREPARO MECÂNICO COM BETONEIRA 400 L</t>
  </si>
  <si>
    <t>M3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</si>
  <si>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</si>
  <si>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</si>
  <si>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</si>
  <si>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</si>
  <si>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</si>
  <si>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</si>
  <si>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</si>
  <si>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</si>
  <si>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</si>
  <si>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</si>
  <si>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</si>
  <si>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</si>
  <si>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Quant.</t>
  </si>
  <si>
    <t>Projeto de Estruturas Concreto Armado</t>
  </si>
  <si>
    <r>
      <t>m</t>
    </r>
    <r>
      <rPr>
        <sz val="12"/>
        <color indexed="8"/>
        <rFont val="Arial"/>
        <family val="2"/>
      </rPr>
      <t>²</t>
    </r>
  </si>
  <si>
    <t>Projeto de Redes de Água Fria e Esgoto Cloacal</t>
  </si>
  <si>
    <t>Projeto de Sistema Hidraulico de Combate a Incendio</t>
  </si>
  <si>
    <t>Projeto Mecânico</t>
  </si>
  <si>
    <t>Projeto de Elevadores e Plataformas Elevatórias</t>
  </si>
  <si>
    <t>Projeto de Redes de Água Pluvial  e Drenagem</t>
  </si>
  <si>
    <t>CCU 20</t>
  </si>
  <si>
    <t>Projeto de Quadro Geral de Baixa Tensão e Centros de Distribuição</t>
  </si>
  <si>
    <t>Projeto de Instalações de Iluminação e Tomadas</t>
  </si>
  <si>
    <t>Projeto de Rede Lógica (Cabeamento Estruturado – Voz e Dados)</t>
  </si>
  <si>
    <t>Projeto de Sistema de Proteção Contra Descargas Atmosféricas (SPDA)</t>
  </si>
  <si>
    <t>Projeto de Sistema Emergência</t>
  </si>
  <si>
    <t>Projeto de Entrada Energia</t>
  </si>
  <si>
    <t>Projeto de Subestação</t>
  </si>
  <si>
    <t>Projeto de Automação, Alarme e CFTV</t>
  </si>
  <si>
    <t>Solicitações Legais e Licenciamento</t>
  </si>
  <si>
    <t>Laudo Técnico</t>
  </si>
  <si>
    <t>Projetos Executivo e Orçamento</t>
  </si>
  <si>
    <t>Topográfico Planialtimétrico</t>
  </si>
  <si>
    <t>Inspeções e Avaliações das Instalações Existentes</t>
  </si>
  <si>
    <t>Levantamentos</t>
  </si>
  <si>
    <t>Fisico / Cadastral</t>
  </si>
  <si>
    <t>Diretrizes de Regularização e Licenciamento</t>
  </si>
  <si>
    <t>CCU 29</t>
  </si>
  <si>
    <t>m2</t>
  </si>
  <si>
    <t>TOPOGRAFO COM ENCARGOS COMPLEMENTARES</t>
  </si>
  <si>
    <t>m</t>
  </si>
  <si>
    <t>1.1.1</t>
  </si>
  <si>
    <t>1.1.2</t>
  </si>
  <si>
    <t>1.1.3</t>
  </si>
  <si>
    <t>1.1.4</t>
  </si>
  <si>
    <t>Deslocamento entre furos - sondagem</t>
  </si>
  <si>
    <t>1.1.5</t>
  </si>
  <si>
    <t>Prospecção Fundação</t>
  </si>
  <si>
    <t>Equipamentos para sondagem manual</t>
  </si>
  <si>
    <t>Equipamentos para sondagem a percussão</t>
  </si>
  <si>
    <t>3.4.4</t>
  </si>
  <si>
    <t>3.4.3</t>
  </si>
  <si>
    <t>Mobilização, Instalação e Desmobilização de equipamento de sondagem</t>
  </si>
  <si>
    <t>3.3</t>
  </si>
  <si>
    <t>Estudo de Viabilidade Urbanística</t>
  </si>
  <si>
    <t>Laudo de Cobertura Vegetal</t>
  </si>
  <si>
    <t>Consulta Potencial Arqueológico</t>
  </si>
  <si>
    <t>90778-2707</t>
  </si>
  <si>
    <t>PREÇO UNITÁRIO</t>
  </si>
  <si>
    <t>4.1.1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</si>
  <si>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</si>
  <si>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</si>
  <si>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</si>
  <si>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</si>
  <si>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</si>
  <si>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</si>
  <si>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</si>
  <si>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</si>
  <si>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</si>
  <si>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CREA RS - jan/2021</t>
  </si>
  <si>
    <t>SECRETARIA MUNICIPAL DE OBRAS E INFRAESTRUTURA</t>
  </si>
  <si>
    <t>3.4</t>
  </si>
  <si>
    <t>Estudo de Impacto Ambiental e Relatório de Impacto Ambiental  (EIA-RIMA)</t>
  </si>
  <si>
    <t>Engenheiro Florestal Médio</t>
  </si>
  <si>
    <t>Biólogo</t>
  </si>
  <si>
    <t>Geólogo Médio ou Eng° Geotécnico</t>
  </si>
  <si>
    <t>1.33</t>
  </si>
  <si>
    <t>1.13</t>
  </si>
  <si>
    <t>1.40</t>
  </si>
  <si>
    <t>1.57</t>
  </si>
  <si>
    <t>Sociólogo</t>
  </si>
  <si>
    <t>Geógrafo</t>
  </si>
  <si>
    <t>Economista</t>
  </si>
  <si>
    <t>1.20</t>
  </si>
  <si>
    <t>1.38</t>
  </si>
  <si>
    <t>Encargos Complementares (Eng. Florestal)</t>
  </si>
  <si>
    <t>Arqueólogo Médio</t>
  </si>
  <si>
    <t>Encargos Complementares (Arqueólogo)</t>
  </si>
  <si>
    <t>7.1</t>
  </si>
  <si>
    <t>7.2</t>
  </si>
  <si>
    <t>Encargos Complementares (Eng. Geotecnico)</t>
  </si>
  <si>
    <t>Encargos Complementares (Biologo)</t>
  </si>
  <si>
    <t>Encargos Complementares (Sociologo)</t>
  </si>
  <si>
    <t>Encargos Complementares (Geografo)</t>
  </si>
  <si>
    <t>Encargos Complementares (Economista)</t>
  </si>
  <si>
    <t>90775-2358</t>
  </si>
  <si>
    <t>Projetos de Regularizações Legais e Normativas</t>
  </si>
  <si>
    <t>CCU 18.b</t>
  </si>
  <si>
    <t>CCU 19.b</t>
  </si>
  <si>
    <t>CCU 21.b</t>
  </si>
  <si>
    <t>CCU 22.b</t>
  </si>
  <si>
    <t>CCU 23.b</t>
  </si>
  <si>
    <t>CCU 24.b</t>
  </si>
  <si>
    <t>CCU 25.b</t>
  </si>
  <si>
    <t>CCU 26.b</t>
  </si>
  <si>
    <t>CCU 27.b</t>
  </si>
  <si>
    <t>CCU 30.b</t>
  </si>
  <si>
    <t>CCU 31.b</t>
  </si>
  <si>
    <t>CCU 32.b</t>
  </si>
  <si>
    <t>CCU 33.b</t>
  </si>
  <si>
    <t>CCU 18.a</t>
  </si>
  <si>
    <t>CCU 19.a</t>
  </si>
  <si>
    <t>CCU 21.a</t>
  </si>
  <si>
    <t>CCU 22.a</t>
  </si>
  <si>
    <t>CCU 23.a</t>
  </si>
  <si>
    <t>CCU 24.a</t>
  </si>
  <si>
    <t>CCU 25.a</t>
  </si>
  <si>
    <t>CCU 26.a</t>
  </si>
  <si>
    <t>CCU 27.a</t>
  </si>
  <si>
    <t>CCU 28.a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</si>
  <si>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</si>
  <si>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</si>
  <si>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</si>
  <si>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</si>
  <si>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</si>
  <si>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</si>
  <si>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</si>
  <si>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</si>
  <si>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</si>
  <si>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</si>
  <si>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</si>
  <si>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</si>
  <si>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</si>
  <si>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5.3</t>
  </si>
  <si>
    <t>5.3.1</t>
  </si>
  <si>
    <t>5.3.2</t>
  </si>
  <si>
    <t>5.3.3</t>
  </si>
  <si>
    <t>5.4</t>
  </si>
  <si>
    <t>5.5.1</t>
  </si>
  <si>
    <t>5.5</t>
  </si>
  <si>
    <t>5.5.2</t>
  </si>
  <si>
    <t>5.5.3</t>
  </si>
  <si>
    <t>5.6</t>
  </si>
  <si>
    <t>5.6.1</t>
  </si>
  <si>
    <t>5.4.1</t>
  </si>
  <si>
    <t>Planilha Orçamentária e Cronograma Físico-Financeiro</t>
  </si>
  <si>
    <t>Orçamentária e Cronograma Físico-Financeiro</t>
  </si>
  <si>
    <t>Escola</t>
  </si>
  <si>
    <t>Sondagem Percussão, incluso relatorio</t>
  </si>
  <si>
    <t>2.3</t>
  </si>
  <si>
    <t>2.4</t>
  </si>
  <si>
    <t>2.5</t>
  </si>
  <si>
    <t>Laudo Técnico - Hidrossanitário</t>
  </si>
  <si>
    <t>Laudo Técnico - Elétrico</t>
  </si>
  <si>
    <t>4.4.2</t>
  </si>
  <si>
    <t>Laudo Técnico - Alvenarias / Fechamentos</t>
  </si>
  <si>
    <t>CCU 11.a</t>
  </si>
  <si>
    <t>CCU 11.b</t>
  </si>
  <si>
    <t>CCU 11.c</t>
  </si>
  <si>
    <t>CCU 11.d</t>
  </si>
  <si>
    <t>CCU 11.e</t>
  </si>
  <si>
    <t>CCU 30.a</t>
  </si>
  <si>
    <t>CCU 31.a</t>
  </si>
  <si>
    <t>CCU 32.a</t>
  </si>
  <si>
    <t>CCU 33.a</t>
  </si>
  <si>
    <t>CCU 39</t>
  </si>
  <si>
    <t>CCU 28.b</t>
  </si>
  <si>
    <t>5.7</t>
  </si>
  <si>
    <t>5.7.1</t>
  </si>
  <si>
    <t>Projeto de Áreas Externas</t>
  </si>
  <si>
    <t>CURVA ABC</t>
  </si>
  <si>
    <t>% SOBRE TOTAL</t>
  </si>
  <si>
    <t>% ACUMULADO</t>
  </si>
  <si>
    <t>CCU 38</t>
  </si>
  <si>
    <t>CCU 34</t>
  </si>
  <si>
    <t>CCU 37</t>
  </si>
  <si>
    <t>CCU 17</t>
  </si>
  <si>
    <t>Projeto de Arquitetura</t>
  </si>
  <si>
    <t>4.3.4</t>
  </si>
  <si>
    <t>4.3.5</t>
  </si>
  <si>
    <t>4.3.6</t>
  </si>
  <si>
    <t>4.3.7</t>
  </si>
  <si>
    <t>4.3.8</t>
  </si>
  <si>
    <t>4.3.9</t>
  </si>
  <si>
    <t>4.4.3</t>
  </si>
  <si>
    <t>Projeto de Pavimentações</t>
  </si>
  <si>
    <t>Projeto de Instalações GLP</t>
  </si>
  <si>
    <t>Projeto de Energia Fotovoltaica</t>
  </si>
  <si>
    <t>CCU 04.a</t>
  </si>
  <si>
    <t>CCU 04.b</t>
  </si>
  <si>
    <t>1.1.6</t>
  </si>
  <si>
    <t>Sondagem Trado para Edificações, incluso relatorio</t>
  </si>
  <si>
    <t>Sondagem Trado para Pavimentos, incluso relatorio</t>
  </si>
  <si>
    <t>9.1</t>
  </si>
  <si>
    <t>9.2</t>
  </si>
  <si>
    <t>Laboratorio</t>
  </si>
  <si>
    <t>Projeto de Estruturas Metálica</t>
  </si>
  <si>
    <t>EMEI</t>
  </si>
  <si>
    <t>EMEF</t>
  </si>
  <si>
    <t>Morro da Curz</t>
  </si>
  <si>
    <t>São Pedro</t>
  </si>
  <si>
    <t>Villa Lobos</t>
  </si>
  <si>
    <t>Esclerometria</t>
  </si>
  <si>
    <t>Ultrassom</t>
  </si>
  <si>
    <t>Pacometria</t>
  </si>
  <si>
    <t>Resistividade</t>
  </si>
  <si>
    <t>Potencial de Corrosão</t>
  </si>
  <si>
    <t>Extração Corpo de Prova e Ensaio de Resistencia a Compressão</t>
  </si>
  <si>
    <t>Concentração de cloretos</t>
  </si>
  <si>
    <t>Porosidade</t>
  </si>
  <si>
    <t>Reação álcalis-agregado</t>
  </si>
  <si>
    <t>Profundidade de carbonatação</t>
  </si>
  <si>
    <t>1.4.1</t>
  </si>
  <si>
    <t>1.4.2</t>
  </si>
  <si>
    <t>1.4.2.1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</si>
  <si>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</si>
  <si>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</si>
  <si>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</si>
  <si>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</si>
  <si>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</si>
  <si>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</si>
  <si>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</si>
  <si>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</si>
  <si>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1.4.2.10</t>
  </si>
  <si>
    <t>1.4.2.11</t>
  </si>
  <si>
    <t>Perícia e Prescrição Técnica</t>
  </si>
  <si>
    <t xml:space="preserve">Ensaios e Prospecções Auxiliares </t>
  </si>
  <si>
    <t>CCU 08.a</t>
  </si>
  <si>
    <t>CCU 08.b</t>
  </si>
  <si>
    <t>CCU 08.c</t>
  </si>
  <si>
    <t>CCU 08.d</t>
  </si>
  <si>
    <t>CCU 08.e</t>
  </si>
  <si>
    <t>CCU 08.f</t>
  </si>
  <si>
    <t>CCU 08.g</t>
  </si>
  <si>
    <t>CCU 08.h</t>
  </si>
  <si>
    <t>CCU 08.i</t>
  </si>
  <si>
    <t>CCU 08.j</t>
  </si>
  <si>
    <t>CCU 08.k</t>
  </si>
  <si>
    <t>CCU 08.l</t>
  </si>
  <si>
    <t>Gerenciamento, Mobilização e Relatório dos Ensaios</t>
  </si>
  <si>
    <t>FURO EM CONCRETO PARA DIÂMETROS MAIORES QUE 75 MM</t>
  </si>
  <si>
    <t>SINAPI 74022/030</t>
  </si>
  <si>
    <t>Projeto de Arquitetura - Regularização</t>
  </si>
  <si>
    <t>Projeto de Estruturas Concreto Armado - Regularização</t>
  </si>
  <si>
    <t>Projeto de Estruturas Metálica - Regularização</t>
  </si>
  <si>
    <t>Projeto de Estruturas Madeira - Regularização</t>
  </si>
  <si>
    <t>Projeto de Entrada Energia - Regularização</t>
  </si>
  <si>
    <t>Projeto de Sistema Emergência - Regularização</t>
  </si>
  <si>
    <t>Projeto de Quadro Geral de Baixa Tensão e Centros de Distribuição - Regularização</t>
  </si>
  <si>
    <t>Projeto de Instalações de Iluminação e Tomadas - Regularização</t>
  </si>
  <si>
    <t>Projeto de Rede Lógica (Cabeamento Estruturado – Voz e Dados) - Regularização</t>
  </si>
  <si>
    <t>Projeto de Sistema de Proteção Contra Descargas Atmosféricas (SPDA) - Regularização</t>
  </si>
  <si>
    <t>Projeto de Automação, Alarme e CFTV - Regularização</t>
  </si>
  <si>
    <t>Projeto de Subestação - Regularização</t>
  </si>
  <si>
    <t>Projeto de Redes de Água Fria e Esgoto Cloacal - Regularização</t>
  </si>
  <si>
    <t>Projeto de Redes de Água Pluvial  e Drenagem - Regularização</t>
  </si>
  <si>
    <t>Projeto de Sistema Hidraulico de Combate a Incendio - Regularização</t>
  </si>
  <si>
    <t>CCU 35</t>
  </si>
  <si>
    <t>CCU 36</t>
  </si>
  <si>
    <t>DESCRIÇÃO SERVIÇO</t>
  </si>
  <si>
    <t>Laudo Técnico - Cobertura</t>
  </si>
  <si>
    <t>Laudo Técnico - Estrutura</t>
  </si>
  <si>
    <r>
      <rPr>
        <b/>
        <sz val="11"/>
        <color indexed="8"/>
        <rFont val="Calibri"/>
        <family val="2"/>
      </rPr>
      <t xml:space="preserve">Objeto: </t>
    </r>
    <r>
      <rPr>
        <sz val="11"/>
        <color theme="1"/>
        <rFont val="Calibri"/>
        <family val="2"/>
      </rPr>
      <t>SERVIÇOS DE ARQUITETURA/ENGENHARIA PARA EXECUÇÃO DE ESTUDOS E PROJETOS COMPLEMENTARES, NECESSÁRIOS ÀS LICITAÇÕES DE OBRAS DA SMED</t>
    </r>
  </si>
  <si>
    <r>
      <t xml:space="preserve">Objeto: </t>
    </r>
    <r>
      <rPr>
        <sz val="11"/>
        <color indexed="8"/>
        <rFont val="Calibri"/>
        <family val="2"/>
      </rPr>
      <t>SERVIÇOS DE ARQUITETURA/ENGENHARIA PARA EXECUÇÃO DE ESTUDOS E PROJETOS COMPLEMENTARES, NECESSÁRIOS ÀS LICITAÇÕES DE OBRAS DA SMED</t>
    </r>
  </si>
  <si>
    <r>
      <t>Objeto:</t>
    </r>
    <r>
      <rPr>
        <sz val="11"/>
        <color indexed="8"/>
        <rFont val="Calibri"/>
        <family val="2"/>
      </rPr>
      <t xml:space="preserve"> SERVIÇOS DE ARQUITETURA/ENGENHARIA PARA EXECUÇÃO DE ESTUDOS E PROJETOS COMPLEMENTARES, NECESSÁRIOS ÀS LICITAÇÕES DE OBRAS DA SMED</t>
    </r>
  </si>
  <si>
    <t>5.8</t>
  </si>
  <si>
    <t>5.8.1</t>
  </si>
  <si>
    <t>Projeto de Impermeabilização</t>
  </si>
  <si>
    <t>CCU 40</t>
  </si>
  <si>
    <t>5.2.11</t>
  </si>
  <si>
    <t>Projeto Luminotécnico de Interiores</t>
  </si>
  <si>
    <t>Projeto Luminotécnico de Áreas Externas</t>
  </si>
  <si>
    <t>Projeto Luminotécnico de Interiores - Regularização</t>
  </si>
  <si>
    <t>4.3.10</t>
  </si>
  <si>
    <t>Projeto Luminotécnico de Áreas Externas - Regularização</t>
  </si>
  <si>
    <t>Porto Alegre, 09 de novembro de 2021</t>
  </si>
  <si>
    <t>CCU 25.d</t>
  </si>
  <si>
    <t>CCU 25.c</t>
  </si>
  <si>
    <t>SINAPI RS - set/2021</t>
  </si>
  <si>
    <t>SUDECAP MG - ago/20 - atualizado para set/21 pelo Índice de Consultoria DNIT por:</t>
  </si>
  <si>
    <t>DAER RS - mai/19 - atualizado para set/21 pelo Índice de Consultoria DNIT por:</t>
  </si>
  <si>
    <t>SICRO RS - abr/21 - atualizado para set/21 pelo Índice de Consultoria DNIT por:</t>
  </si>
  <si>
    <t>QUANTITATIVO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</si>
</sst>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"/>
    <numFmt numFmtId="167" formatCode="_-&quot;R$&quot;\ * #,##0.0000_-;\-&quot;R$&quot;\ * #,##0.0000_-;_-&quot;R$&quot;\ * &quot;-&quot;??_-;_-@_-"/>
    <numFmt numFmtId="168" formatCode="_-&quot;R$&quot;\ * #,##0.000_-;\-&quot;R$&quot;\ * #,##0.000_-;_-&quot;R$&quot;\ * &quot;-&quot;??_-;_-@_-"/>
    <numFmt numFmtId="169" formatCode="0.0%"/>
    <numFmt numFmtId="170" formatCode="_-* #,##0.0000_-;\-* #,##0.0000_-;_-* &quot;-&quot;??_-;_-@_-"/>
    <numFmt numFmtId="171" formatCode="_-* #,##0.0000_-;\-* #,##0.0000_-;_-* &quot;-&quot;????_-;_-@_-"/>
    <numFmt numFmtId="172" formatCode="0.0000"/>
    <numFmt numFmtId="173" formatCode="0.000"/>
    <numFmt numFmtId="174" formatCode="0.00000"/>
    <numFmt numFmtId="175" formatCode="0.000000"/>
    <numFmt numFmtId="176" formatCode="#,##0.00_ ;\-#,##0.00\ "/>
    <numFmt numFmtId="177" formatCode="_-* #,##0.0_-;\-* #,##0.0_-;_-* &quot;-&quot;??_-;_-@_-"/>
    <numFmt numFmtId="178" formatCode="_-* #,##0_-;\-* #,##0_-;_-* &quot;-&quot;??_-;_-@_-"/>
    <numFmt numFmtId="179" formatCode="_-&quot;R$&quot;\ * #,##0.0000_-;\-&quot;R$&quot;\ * #,##0.0000_-;_-&quot;R$&quot;\ * &quot;-&quot;????_-;_-@_-"/>
    <numFmt numFmtId="180" formatCode="#,##0.0000_ ;\-#,##0.0000\ "/>
    <numFmt numFmtId="181" formatCode="_-* #,##0.000_-;\-* #,##0.000_-;_-* &quot;-&quot;??_-;_-@_-"/>
    <numFmt numFmtId="182" formatCode="#,##0.0"/>
    <numFmt numFmtId="183" formatCode="_-&quot;R$&quot;\ * #,##0.00000_-;\-&quot;R$&quot;\ * #,##0.00000_-;_-&quot;R$&quot;\ * &quot;-&quot;??_-;_-@_-"/>
    <numFmt numFmtId="184" formatCode="_-&quot;R$&quot;\ * #,##0.000000_-;\-&quot;R$&quot;\ * #,##0.000000_-;_-&quot;R$&quot;\ * &quot;-&quot;??_-;_-@_-"/>
    <numFmt numFmtId="185" formatCode="_-&quot;R$&quot;\ * #,##0.0000000_-;\-&quot;R$&quot;\ * #,##0.0000000_-;_-&quot;R$&quot;\ * &quot;-&quot;??_-;_-@_-"/>
    <numFmt numFmtId="186" formatCode="0.0000000"/>
    <numFmt numFmtId="187" formatCode="#,##0.000"/>
    <numFmt numFmtId="188" formatCode="#,##0.0000"/>
    <numFmt numFmtId="189" formatCode="#,##0_ ;\-#,##0\ "/>
    <numFmt numFmtId="190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90">
    <xf numFmtId="0" fontId="0" fillId="0" borderId="0" xfId="0" applyFont="1" applyAlignment="1">
      <alignment/>
    </xf>
    <xf numFmtId="0" fontId="4" fillId="0" borderId="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0" xfId="44" applyFont="1" applyBorder="1" applyAlignment="1">
      <alignment vertical="center"/>
      <protection/>
    </xf>
    <xf numFmtId="0" fontId="50" fillId="0" borderId="0" xfId="0" applyFont="1" applyAlignment="1">
      <alignment horizontal="center"/>
    </xf>
    <xf numFmtId="0" fontId="2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51" fillId="33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2" fontId="4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44" fontId="4" fillId="33" borderId="12" xfId="49" applyFont="1" applyFill="1" applyBorder="1" applyAlignment="1">
      <alignment horizontal="right" vertical="center"/>
    </xf>
    <xf numFmtId="10" fontId="4" fillId="33" borderId="12" xfId="54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10" fontId="4" fillId="34" borderId="10" xfId="54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49" applyFont="1" applyFill="1" applyBorder="1" applyAlignment="1">
      <alignment horizontal="center" vertical="center"/>
    </xf>
    <xf numFmtId="44" fontId="3" fillId="33" borderId="11" xfId="49" applyFont="1" applyFill="1" applyBorder="1" applyAlignment="1">
      <alignment horizontal="left"/>
    </xf>
    <xf numFmtId="0" fontId="7" fillId="34" borderId="13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9" fillId="35" borderId="0" xfId="54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9" fontId="10" fillId="35" borderId="13" xfId="54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vertical="center"/>
      <protection/>
    </xf>
    <xf numFmtId="0" fontId="4" fillId="33" borderId="23" xfId="52" applyFont="1" applyFill="1" applyBorder="1" applyAlignment="1">
      <alignment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4" fillId="33" borderId="24" xfId="52" applyFont="1" applyFill="1" applyBorder="1" applyAlignment="1">
      <alignment vertical="center"/>
      <protection/>
    </xf>
    <xf numFmtId="44" fontId="3" fillId="33" borderId="24" xfId="49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65" fontId="3" fillId="36" borderId="10" xfId="59" applyFont="1" applyFill="1" applyBorder="1" applyAlignment="1">
      <alignment horizontal="center" vertical="center" wrapText="1"/>
    </xf>
    <xf numFmtId="49" fontId="3" fillId="36" borderId="10" xfId="57" applyNumberFormat="1" applyFont="1" applyFill="1" applyBorder="1" applyAlignment="1">
      <alignment horizontal="center" vertical="center" wrapText="1"/>
    </xf>
    <xf numFmtId="165" fontId="3" fillId="37" borderId="10" xfId="59" applyFont="1" applyFill="1" applyBorder="1" applyAlignment="1">
      <alignment horizontal="center" vertical="center" wrapText="1"/>
    </xf>
    <xf numFmtId="49" fontId="3" fillId="36" borderId="11" xfId="57" applyNumberFormat="1" applyFont="1" applyFill="1" applyBorder="1" applyAlignment="1">
      <alignment horizontal="center" vertical="center" wrapText="1"/>
    </xf>
    <xf numFmtId="49" fontId="3" fillId="36" borderId="25" xfId="57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26" xfId="52" applyFont="1" applyBorder="1" applyAlignment="1">
      <alignment horizontal="left" vertical="center" wrapText="1"/>
      <protection/>
    </xf>
    <xf numFmtId="0" fontId="4" fillId="0" borderId="27" xfId="49" applyNumberFormat="1" applyFont="1" applyBorder="1" applyAlignment="1">
      <alignment horizontal="left" vertical="center"/>
    </xf>
    <xf numFmtId="0" fontId="2" fillId="0" borderId="0" xfId="52" applyBorder="1">
      <alignment/>
      <protection/>
    </xf>
    <xf numFmtId="0" fontId="4" fillId="0" borderId="26" xfId="52" applyFont="1" applyFill="1" applyBorder="1" applyAlignment="1">
      <alignment horizontal="left" vertical="center" wrapText="1"/>
      <protection/>
    </xf>
    <xf numFmtId="0" fontId="4" fillId="0" borderId="27" xfId="49" applyNumberFormat="1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26" xfId="52" applyFont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72" fontId="4" fillId="0" borderId="10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25" xfId="49" applyNumberFormat="1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4" fillId="0" borderId="2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vertical="center"/>
      <protection/>
    </xf>
    <xf numFmtId="0" fontId="50" fillId="0" borderId="10" xfId="0" applyFont="1" applyFill="1" applyBorder="1" applyAlignment="1">
      <alignment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6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25" xfId="49" applyNumberFormat="1" applyFont="1" applyBorder="1" applyAlignment="1">
      <alignment horizontal="left" vertical="center"/>
    </xf>
    <xf numFmtId="167" fontId="4" fillId="0" borderId="10" xfId="49" applyNumberFormat="1" applyFont="1" applyFill="1" applyBorder="1" applyAlignment="1">
      <alignment vertical="center"/>
    </xf>
    <xf numFmtId="175" fontId="4" fillId="0" borderId="10" xfId="52" applyNumberFormat="1" applyFont="1" applyFill="1" applyBorder="1" applyAlignment="1">
      <alignment horizontal="center" vertical="center"/>
      <protection/>
    </xf>
    <xf numFmtId="175" fontId="4" fillId="0" borderId="24" xfId="52" applyNumberFormat="1" applyFont="1" applyFill="1" applyBorder="1" applyAlignment="1">
      <alignment horizontal="center" vertical="center"/>
      <protection/>
    </xf>
    <xf numFmtId="167" fontId="4" fillId="0" borderId="10" xfId="49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4" fontId="4" fillId="0" borderId="12" xfId="49" applyFont="1" applyBorder="1" applyAlignment="1">
      <alignment vertical="center"/>
    </xf>
    <xf numFmtId="172" fontId="4" fillId="0" borderId="12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4" fontId="50" fillId="0" borderId="10" xfId="49" applyFont="1" applyBorder="1" applyAlignment="1">
      <alignment vertical="center"/>
    </xf>
    <xf numFmtId="0" fontId="4" fillId="0" borderId="0" xfId="0" applyFont="1" applyAlignment="1">
      <alignment vertical="center"/>
    </xf>
    <xf numFmtId="44" fontId="50" fillId="0" borderId="10" xfId="49" applyFont="1" applyFill="1" applyBorder="1" applyAlignment="1">
      <alignment vertical="center"/>
    </xf>
    <xf numFmtId="9" fontId="4" fillId="0" borderId="10" xfId="52" applyNumberFormat="1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/>
    </xf>
    <xf numFmtId="3" fontId="3" fillId="38" borderId="11" xfId="44" applyNumberFormat="1" applyFont="1" applyFill="1" applyBorder="1" applyAlignment="1" applyProtection="1">
      <alignment horizontal="left" vertical="center"/>
      <protection/>
    </xf>
    <xf numFmtId="0" fontId="50" fillId="0" borderId="2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" fillId="0" borderId="0" xfId="44" applyNumberFormat="1" applyFont="1" applyBorder="1" applyAlignment="1">
      <alignment vertical="center"/>
      <protection/>
    </xf>
    <xf numFmtId="2" fontId="4" fillId="0" borderId="0" xfId="44" applyNumberFormat="1" applyFont="1" applyBorder="1" applyAlignment="1">
      <alignment vertical="center"/>
      <protection/>
    </xf>
    <xf numFmtId="9" fontId="52" fillId="0" borderId="28" xfId="44" applyNumberFormat="1" applyFont="1" applyBorder="1" applyAlignment="1">
      <alignment vertical="center"/>
      <protection/>
    </xf>
    <xf numFmtId="2" fontId="5" fillId="0" borderId="0" xfId="44" applyNumberFormat="1" applyFont="1" applyBorder="1" applyAlignment="1">
      <alignment vertical="center"/>
      <protection/>
    </xf>
    <xf numFmtId="0" fontId="5" fillId="0" borderId="29" xfId="44" applyFont="1" applyBorder="1" applyAlignment="1">
      <alignment vertical="center"/>
      <protection/>
    </xf>
    <xf numFmtId="10" fontId="5" fillId="0" borderId="29" xfId="54" applyNumberFormat="1" applyFont="1" applyBorder="1" applyAlignment="1">
      <alignment vertical="center"/>
    </xf>
    <xf numFmtId="4" fontId="5" fillId="0" borderId="0" xfId="44" applyNumberFormat="1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3" fontId="4" fillId="37" borderId="10" xfId="0" applyNumberFormat="1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vertical="center" wrapText="1"/>
    </xf>
    <xf numFmtId="0" fontId="50" fillId="37" borderId="12" xfId="0" applyFont="1" applyFill="1" applyBorder="1" applyAlignment="1">
      <alignment horizontal="center" vertical="center"/>
    </xf>
    <xf numFmtId="44" fontId="50" fillId="37" borderId="12" xfId="49" applyFont="1" applyFill="1" applyBorder="1" applyAlignment="1">
      <alignment vertical="center"/>
    </xf>
    <xf numFmtId="44" fontId="4" fillId="37" borderId="12" xfId="49" applyFont="1" applyFill="1" applyBorder="1" applyAlignment="1">
      <alignment vertical="center"/>
    </xf>
    <xf numFmtId="10" fontId="4" fillId="37" borderId="12" xfId="54" applyNumberFormat="1" applyFont="1" applyFill="1" applyBorder="1" applyAlignment="1">
      <alignment vertical="center"/>
    </xf>
    <xf numFmtId="44" fontId="4" fillId="37" borderId="25" xfId="49" applyFont="1" applyFill="1" applyBorder="1" applyAlignment="1">
      <alignment vertical="center"/>
    </xf>
    <xf numFmtId="44" fontId="4" fillId="34" borderId="10" xfId="49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0" xfId="52" applyFont="1" applyFill="1" applyBorder="1" applyAlignment="1">
      <alignment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9" fontId="4" fillId="33" borderId="31" xfId="52" applyNumberFormat="1" applyFont="1" applyFill="1" applyBorder="1" applyAlignment="1">
      <alignment horizontal="center" vertical="center"/>
      <protection/>
    </xf>
    <xf numFmtId="44" fontId="3" fillId="33" borderId="31" xfId="49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/>
    </xf>
    <xf numFmtId="0" fontId="4" fillId="0" borderId="22" xfId="44" applyFont="1" applyFill="1" applyBorder="1" applyAlignment="1">
      <alignment horizontal="left" vertical="center"/>
      <protection/>
    </xf>
    <xf numFmtId="0" fontId="4" fillId="0" borderId="30" xfId="44" applyFont="1" applyBorder="1" applyAlignment="1">
      <alignment horizontal="left" vertical="center"/>
      <protection/>
    </xf>
    <xf numFmtId="0" fontId="3" fillId="39" borderId="31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1" fontId="3" fillId="39" borderId="30" xfId="0" applyNumberFormat="1" applyFont="1" applyFill="1" applyBorder="1" applyAlignment="1">
      <alignment horizontal="center" vertical="center" wrapText="1"/>
    </xf>
    <xf numFmtId="1" fontId="3" fillId="39" borderId="29" xfId="0" applyNumberFormat="1" applyFont="1" applyFill="1" applyBorder="1" applyAlignment="1">
      <alignment horizontal="center" vertical="center" wrapText="1"/>
    </xf>
    <xf numFmtId="4" fontId="3" fillId="39" borderId="24" xfId="0" applyNumberFormat="1" applyFont="1" applyFill="1" applyBorder="1" applyAlignment="1">
      <alignment horizontal="center" vertical="center" wrapText="1"/>
    </xf>
    <xf numFmtId="4" fontId="3" fillId="39" borderId="31" xfId="0" applyNumberFormat="1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4" fontId="3" fillId="41" borderId="32" xfId="44" applyNumberFormat="1" applyFont="1" applyFill="1" applyBorder="1" applyAlignment="1">
      <alignment horizontal="center" vertical="center" wrapText="1"/>
      <protection/>
    </xf>
    <xf numFmtId="44" fontId="5" fillId="0" borderId="0" xfId="44" applyNumberFormat="1" applyFont="1" applyAlignment="1">
      <alignment vertical="center"/>
      <protection/>
    </xf>
    <xf numFmtId="173" fontId="4" fillId="0" borderId="10" xfId="52" applyNumberFormat="1" applyFont="1" applyFill="1" applyBorder="1" applyAlignment="1">
      <alignment horizontal="center" vertical="center"/>
      <protection/>
    </xf>
    <xf numFmtId="44" fontId="4" fillId="37" borderId="26" xfId="49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4" fontId="0" fillId="37" borderId="25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7" borderId="11" xfId="44" applyNumberFormat="1" applyFont="1" applyFill="1" applyBorder="1" applyAlignment="1" applyProtection="1">
      <alignment horizontal="left" vertical="center" wrapText="1"/>
      <protection/>
    </xf>
    <xf numFmtId="3" fontId="3" fillId="37" borderId="12" xfId="44" applyNumberFormat="1" applyFont="1" applyFill="1" applyBorder="1" applyAlignment="1" applyProtection="1">
      <alignment horizontal="left" vertical="center" wrapText="1"/>
      <protection/>
    </xf>
    <xf numFmtId="44" fontId="3" fillId="37" borderId="12" xfId="49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50" fillId="0" borderId="10" xfId="0" applyNumberFormat="1" applyFont="1" applyBorder="1" applyAlignment="1">
      <alignment horizontal="left" vertical="center"/>
    </xf>
    <xf numFmtId="0" fontId="50" fillId="42" borderId="11" xfId="0" applyFont="1" applyFill="1" applyBorder="1" applyAlignment="1">
      <alignment vertical="center" wrapText="1"/>
    </xf>
    <xf numFmtId="44" fontId="0" fillId="42" borderId="33" xfId="0" applyNumberFormat="1" applyFont="1" applyFill="1" applyBorder="1" applyAlignment="1">
      <alignment vertical="center" wrapText="1"/>
    </xf>
    <xf numFmtId="44" fontId="0" fillId="0" borderId="10" xfId="49" applyFont="1" applyFill="1" applyBorder="1" applyAlignment="1">
      <alignment horizontal="center" vertical="center"/>
    </xf>
    <xf numFmtId="44" fontId="0" fillId="0" borderId="10" xfId="49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44" fontId="0" fillId="42" borderId="12" xfId="0" applyNumberFormat="1" applyFont="1" applyFill="1" applyBorder="1" applyAlignment="1">
      <alignment vertical="center" wrapText="1"/>
    </xf>
    <xf numFmtId="44" fontId="0" fillId="0" borderId="12" xfId="49" applyFont="1" applyFill="1" applyBorder="1" applyAlignment="1" quotePrefix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44" fontId="0" fillId="0" borderId="12" xfId="49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2" fontId="4" fillId="0" borderId="10" xfId="52" applyNumberFormat="1" applyFont="1" applyBorder="1" applyAlignment="1">
      <alignment horizontal="center" vertical="center"/>
      <protection/>
    </xf>
    <xf numFmtId="44" fontId="4" fillId="33" borderId="12" xfId="49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/>
    </xf>
    <xf numFmtId="44" fontId="50" fillId="0" borderId="12" xfId="49" applyFont="1" applyFill="1" applyBorder="1" applyAlignment="1">
      <alignment vertical="center"/>
    </xf>
    <xf numFmtId="44" fontId="4" fillId="0" borderId="12" xfId="49" applyFont="1" applyFill="1" applyBorder="1" applyAlignment="1">
      <alignment vertical="center"/>
    </xf>
    <xf numFmtId="10" fontId="4" fillId="0" borderId="12" xfId="54" applyNumberFormat="1" applyFont="1" applyFill="1" applyBorder="1" applyAlignment="1">
      <alignment vertical="center"/>
    </xf>
    <xf numFmtId="44" fontId="4" fillId="0" borderId="25" xfId="49" applyFont="1" applyFill="1" applyBorder="1" applyAlignment="1">
      <alignment vertical="center"/>
    </xf>
    <xf numFmtId="10" fontId="5" fillId="0" borderId="27" xfId="54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1" fillId="0" borderId="0" xfId="0" applyFont="1" applyAlignment="1">
      <alignment/>
    </xf>
    <xf numFmtId="3" fontId="4" fillId="0" borderId="11" xfId="44" applyNumberFormat="1" applyFont="1" applyFill="1" applyBorder="1" applyAlignment="1" applyProtection="1">
      <alignment horizontal="left" vertical="center" wrapText="1"/>
      <protection/>
    </xf>
    <xf numFmtId="3" fontId="3" fillId="0" borderId="12" xfId="44" applyNumberFormat="1" applyFont="1" applyFill="1" applyBorder="1" applyAlignment="1" applyProtection="1">
      <alignment horizontal="left" vertical="center" wrapText="1"/>
      <protection/>
    </xf>
    <xf numFmtId="44" fontId="3" fillId="0" borderId="12" xfId="49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3" fillId="33" borderId="10" xfId="49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4" fontId="0" fillId="0" borderId="25" xfId="0" applyNumberFormat="1" applyBorder="1" applyAlignment="1">
      <alignment/>
    </xf>
    <xf numFmtId="4" fontId="31" fillId="0" borderId="25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9" fontId="9" fillId="35" borderId="17" xfId="54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10" fontId="5" fillId="0" borderId="10" xfId="54" applyNumberFormat="1" applyFont="1" applyBorder="1" applyAlignment="1">
      <alignment vertical="center"/>
    </xf>
    <xf numFmtId="10" fontId="5" fillId="0" borderId="10" xfId="49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9" fontId="9" fillId="35" borderId="18" xfId="54" applyFont="1" applyFill="1" applyBorder="1" applyAlignment="1">
      <alignment horizontal="center" vertical="center" wrapText="1"/>
    </xf>
    <xf numFmtId="172" fontId="4" fillId="0" borderId="24" xfId="52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0" fillId="37" borderId="24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vertical="top"/>
    </xf>
    <xf numFmtId="10" fontId="0" fillId="0" borderId="10" xfId="0" applyNumberFormat="1" applyFont="1" applyFill="1" applyBorder="1" applyAlignment="1">
      <alignment horizontal="center" vertical="center"/>
    </xf>
    <xf numFmtId="4" fontId="0" fillId="37" borderId="25" xfId="49" applyNumberFormat="1" applyFont="1" applyFill="1" applyBorder="1" applyAlignment="1">
      <alignment horizontal="right" vertical="center"/>
    </xf>
    <xf numFmtId="4" fontId="0" fillId="37" borderId="10" xfId="0" applyNumberFormat="1" applyFont="1" applyFill="1" applyBorder="1" applyAlignment="1">
      <alignment horizontal="right" vertical="center"/>
    </xf>
    <xf numFmtId="4" fontId="3" fillId="37" borderId="12" xfId="0" applyNumberFormat="1" applyFont="1" applyFill="1" applyBorder="1" applyAlignment="1">
      <alignment horizontal="right" vertical="center"/>
    </xf>
    <xf numFmtId="3" fontId="50" fillId="37" borderId="12" xfId="0" applyNumberFormat="1" applyFont="1" applyFill="1" applyBorder="1" applyAlignment="1">
      <alignment horizontal="right" vertical="center"/>
    </xf>
    <xf numFmtId="4" fontId="50" fillId="37" borderId="12" xfId="0" applyNumberFormat="1" applyFont="1" applyFill="1" applyBorder="1" applyAlignment="1">
      <alignment horizontal="right" vertical="center"/>
    </xf>
    <xf numFmtId="44" fontId="4" fillId="33" borderId="25" xfId="49" applyFont="1" applyFill="1" applyBorder="1" applyAlignment="1">
      <alignment vertical="center"/>
    </xf>
    <xf numFmtId="44" fontId="4" fillId="37" borderId="27" xfId="49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" fontId="0" fillId="37" borderId="10" xfId="49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horizontal="right" vertical="center"/>
    </xf>
    <xf numFmtId="44" fontId="4" fillId="34" borderId="25" xfId="49" applyFont="1" applyFill="1" applyBorder="1" applyAlignment="1">
      <alignment vertical="center"/>
    </xf>
    <xf numFmtId="3" fontId="0" fillId="37" borderId="10" xfId="0" applyNumberFormat="1" applyFont="1" applyFill="1" applyBorder="1" applyAlignment="1">
      <alignment horizontal="right" vertical="center"/>
    </xf>
    <xf numFmtId="189" fontId="0" fillId="0" borderId="12" xfId="57" applyNumberFormat="1" applyFont="1" applyFill="1" applyBorder="1" applyAlignment="1">
      <alignment horizontal="center" vertical="center"/>
    </xf>
    <xf numFmtId="176" fontId="0" fillId="0" borderId="12" xfId="57" applyNumberFormat="1" applyFont="1" applyFill="1" applyBorder="1" applyAlignment="1">
      <alignment horizontal="center" vertical="center"/>
    </xf>
    <xf numFmtId="44" fontId="0" fillId="43" borderId="10" xfId="49" applyFont="1" applyFill="1" applyBorder="1" applyAlignment="1">
      <alignment horizontal="center" vertical="center"/>
    </xf>
    <xf numFmtId="4" fontId="0" fillId="43" borderId="10" xfId="0" applyNumberFormat="1" applyFont="1" applyFill="1" applyBorder="1" applyAlignment="1">
      <alignment horizontal="center" vertical="center"/>
    </xf>
    <xf numFmtId="44" fontId="0" fillId="43" borderId="12" xfId="49" applyFont="1" applyFill="1" applyBorder="1" applyAlignment="1">
      <alignment horizontal="center" vertical="center"/>
    </xf>
    <xf numFmtId="10" fontId="0" fillId="43" borderId="12" xfId="0" applyNumberFormat="1" applyFont="1" applyFill="1" applyBorder="1" applyAlignment="1">
      <alignment horizontal="center" vertical="center"/>
    </xf>
    <xf numFmtId="4" fontId="0" fillId="43" borderId="11" xfId="0" applyNumberFormat="1" applyFont="1" applyFill="1" applyBorder="1" applyAlignment="1">
      <alignment horizontal="center" vertical="center"/>
    </xf>
    <xf numFmtId="44" fontId="0" fillId="44" borderId="10" xfId="49" applyFont="1" applyFill="1" applyBorder="1" applyAlignment="1">
      <alignment horizontal="center" vertical="center"/>
    </xf>
    <xf numFmtId="4" fontId="0" fillId="44" borderId="10" xfId="0" applyNumberFormat="1" applyFont="1" applyFill="1" applyBorder="1" applyAlignment="1">
      <alignment horizontal="center" vertical="center"/>
    </xf>
    <xf numFmtId="10" fontId="0" fillId="44" borderId="12" xfId="0" applyNumberFormat="1" applyFont="1" applyFill="1" applyBorder="1" applyAlignment="1">
      <alignment horizontal="center" vertical="center"/>
    </xf>
    <xf numFmtId="44" fontId="0" fillId="45" borderId="10" xfId="49" applyFont="1" applyFill="1" applyBorder="1" applyAlignment="1">
      <alignment horizontal="center" vertical="center"/>
    </xf>
    <xf numFmtId="4" fontId="0" fillId="45" borderId="10" xfId="0" applyNumberFormat="1" applyFont="1" applyFill="1" applyBorder="1" applyAlignment="1">
      <alignment horizontal="center" vertical="center"/>
    </xf>
    <xf numFmtId="44" fontId="0" fillId="45" borderId="12" xfId="49" applyFont="1" applyFill="1" applyBorder="1" applyAlignment="1">
      <alignment horizontal="center" vertical="center"/>
    </xf>
    <xf numFmtId="10" fontId="0" fillId="45" borderId="12" xfId="0" applyNumberFormat="1" applyFont="1" applyFill="1" applyBorder="1" applyAlignment="1">
      <alignment horizontal="center" vertical="center"/>
    </xf>
    <xf numFmtId="44" fontId="0" fillId="46" borderId="10" xfId="49" applyFont="1" applyFill="1" applyBorder="1" applyAlignment="1">
      <alignment horizontal="center" vertical="center"/>
    </xf>
    <xf numFmtId="4" fontId="0" fillId="46" borderId="10" xfId="0" applyNumberFormat="1" applyFont="1" applyFill="1" applyBorder="1" applyAlignment="1">
      <alignment horizontal="center" vertical="center"/>
    </xf>
    <xf numFmtId="44" fontId="0" fillId="46" borderId="12" xfId="49" applyFont="1" applyFill="1" applyBorder="1" applyAlignment="1">
      <alignment horizontal="center" vertical="center"/>
    </xf>
    <xf numFmtId="10" fontId="0" fillId="46" borderId="12" xfId="0" applyNumberFormat="1" applyFont="1" applyFill="1" applyBorder="1" applyAlignment="1">
      <alignment horizontal="center" vertical="center"/>
    </xf>
    <xf numFmtId="44" fontId="0" fillId="47" borderId="10" xfId="49" applyFont="1" applyFill="1" applyBorder="1" applyAlignment="1">
      <alignment horizontal="center" vertical="center"/>
    </xf>
    <xf numFmtId="4" fontId="0" fillId="47" borderId="10" xfId="0" applyNumberFormat="1" applyFont="1" applyFill="1" applyBorder="1" applyAlignment="1">
      <alignment horizontal="center" vertical="center"/>
    </xf>
    <xf numFmtId="44" fontId="0" fillId="47" borderId="12" xfId="49" applyFont="1" applyFill="1" applyBorder="1" applyAlignment="1">
      <alignment horizontal="center" vertical="center"/>
    </xf>
    <xf numFmtId="10" fontId="0" fillId="47" borderId="12" xfId="0" applyNumberFormat="1" applyFont="1" applyFill="1" applyBorder="1" applyAlignment="1">
      <alignment horizontal="center" vertical="center"/>
    </xf>
    <xf numFmtId="44" fontId="0" fillId="48" borderId="10" xfId="49" applyFont="1" applyFill="1" applyBorder="1" applyAlignment="1">
      <alignment horizontal="center" vertical="center"/>
    </xf>
    <xf numFmtId="4" fontId="0" fillId="48" borderId="10" xfId="0" applyNumberFormat="1" applyFont="1" applyFill="1" applyBorder="1" applyAlignment="1">
      <alignment horizontal="center" vertical="center"/>
    </xf>
    <xf numFmtId="44" fontId="0" fillId="48" borderId="12" xfId="49" applyFont="1" applyFill="1" applyBorder="1" applyAlignment="1">
      <alignment horizontal="center" vertical="center"/>
    </xf>
    <xf numFmtId="10" fontId="0" fillId="48" borderId="12" xfId="0" applyNumberFormat="1" applyFont="1" applyFill="1" applyBorder="1" applyAlignment="1">
      <alignment horizontal="center" vertical="center"/>
    </xf>
    <xf numFmtId="44" fontId="0" fillId="49" borderId="10" xfId="49" applyFont="1" applyFill="1" applyBorder="1" applyAlignment="1">
      <alignment horizontal="center" vertical="center"/>
    </xf>
    <xf numFmtId="4" fontId="0" fillId="49" borderId="10" xfId="0" applyNumberFormat="1" applyFont="1" applyFill="1" applyBorder="1" applyAlignment="1">
      <alignment horizontal="center" vertical="center"/>
    </xf>
    <xf numFmtId="44" fontId="0" fillId="49" borderId="12" xfId="49" applyFont="1" applyFill="1" applyBorder="1" applyAlignment="1">
      <alignment horizontal="center" vertical="center"/>
    </xf>
    <xf numFmtId="10" fontId="0" fillId="49" borderId="12" xfId="0" applyNumberFormat="1" applyFont="1" applyFill="1" applyBorder="1" applyAlignment="1">
      <alignment horizontal="center" vertical="center"/>
    </xf>
    <xf numFmtId="44" fontId="0" fillId="15" borderId="10" xfId="49" applyFont="1" applyFill="1" applyBorder="1" applyAlignment="1">
      <alignment horizontal="center" vertical="center"/>
    </xf>
    <xf numFmtId="4" fontId="0" fillId="15" borderId="10" xfId="0" applyNumberFormat="1" applyFont="1" applyFill="1" applyBorder="1" applyAlignment="1">
      <alignment horizontal="center" vertical="center"/>
    </xf>
    <xf numFmtId="44" fontId="0" fillId="15" borderId="12" xfId="49" applyFont="1" applyFill="1" applyBorder="1" applyAlignment="1">
      <alignment horizontal="center" vertical="center"/>
    </xf>
    <xf numFmtId="10" fontId="0" fillId="15" borderId="12" xfId="0" applyNumberFormat="1" applyFont="1" applyFill="1" applyBorder="1" applyAlignment="1">
      <alignment horizontal="center" vertical="center"/>
    </xf>
    <xf numFmtId="10" fontId="50" fillId="0" borderId="10" xfId="49" applyNumberFormat="1" applyFont="1" applyFill="1" applyBorder="1" applyAlignment="1">
      <alignment vertical="center"/>
    </xf>
    <xf numFmtId="44" fontId="50" fillId="0" borderId="10" xfId="49" applyFont="1" applyBorder="1" applyAlignment="1">
      <alignment horizontal="right" vertical="center"/>
    </xf>
    <xf numFmtId="44" fontId="0" fillId="33" borderId="10" xfId="49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44" applyFont="1" applyFill="1" applyBorder="1" applyAlignment="1">
      <alignment horizontal="left" vertical="center"/>
      <protection/>
    </xf>
    <xf numFmtId="0" fontId="4" fillId="0" borderId="30" xfId="44" applyFont="1" applyBorder="1" applyAlignment="1">
      <alignment horizontal="left" vertical="center" wrapText="1"/>
      <protection/>
    </xf>
    <xf numFmtId="0" fontId="4" fillId="0" borderId="33" xfId="44" applyFont="1" applyBorder="1" applyAlignment="1">
      <alignment horizontal="left" vertical="center" wrapText="1"/>
      <protection/>
    </xf>
    <xf numFmtId="4" fontId="0" fillId="44" borderId="11" xfId="0" applyNumberFormat="1" applyFont="1" applyFill="1" applyBorder="1" applyAlignment="1">
      <alignment horizontal="center" vertical="center"/>
    </xf>
    <xf numFmtId="44" fontId="50" fillId="0" borderId="10" xfId="49" applyNumberFormat="1" applyFont="1" applyFill="1" applyBorder="1" applyAlignment="1">
      <alignment vertical="center"/>
    </xf>
    <xf numFmtId="10" fontId="3" fillId="33" borderId="11" xfId="54" applyNumberFormat="1" applyFont="1" applyFill="1" applyBorder="1" applyAlignment="1">
      <alignment horizontal="right" vertical="center"/>
    </xf>
    <xf numFmtId="10" fontId="3" fillId="33" borderId="25" xfId="54" applyNumberFormat="1" applyFont="1" applyFill="1" applyBorder="1" applyAlignment="1">
      <alignment horizontal="right" vertical="center"/>
    </xf>
    <xf numFmtId="44" fontId="3" fillId="33" borderId="11" xfId="49" applyFont="1" applyFill="1" applyBorder="1" applyAlignment="1">
      <alignment horizontal="center" vertical="center"/>
    </xf>
    <xf numFmtId="44" fontId="3" fillId="33" borderId="25" xfId="49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44" fontId="3" fillId="33" borderId="10" xfId="49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9" borderId="12" xfId="0" applyFont="1" applyFill="1" applyBorder="1" applyAlignment="1">
      <alignment horizontal="center" vertical="center"/>
    </xf>
    <xf numFmtId="3" fontId="4" fillId="38" borderId="34" xfId="44" applyNumberFormat="1" applyFont="1" applyFill="1" applyBorder="1" applyAlignment="1" applyProtection="1">
      <alignment horizontal="center" vertical="center" wrapText="1"/>
      <protection/>
    </xf>
    <xf numFmtId="3" fontId="4" fillId="38" borderId="27" xfId="44" applyNumberFormat="1" applyFont="1" applyFill="1" applyBorder="1" applyAlignment="1" applyProtection="1">
      <alignment horizontal="center" vertical="center" wrapText="1"/>
      <protection/>
    </xf>
    <xf numFmtId="3" fontId="4" fillId="38" borderId="35" xfId="44" applyNumberFormat="1" applyFont="1" applyFill="1" applyBorder="1" applyAlignment="1" applyProtection="1">
      <alignment horizontal="center" vertical="center" wrapText="1"/>
      <protection/>
    </xf>
    <xf numFmtId="3" fontId="4" fillId="38" borderId="24" xfId="44" applyNumberFormat="1" applyFont="1" applyFill="1" applyBorder="1" applyAlignment="1" applyProtection="1">
      <alignment horizontal="center" vertical="center" wrapText="1"/>
      <protection/>
    </xf>
    <xf numFmtId="44" fontId="4" fillId="38" borderId="34" xfId="49" applyFont="1" applyFill="1" applyBorder="1" applyAlignment="1" applyProtection="1">
      <alignment horizontal="center" vertical="center" wrapText="1"/>
      <protection/>
    </xf>
    <xf numFmtId="44" fontId="4" fillId="38" borderId="27" xfId="49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3_PEDRO BOÉSSIO ORÇAMENTO - CAIXA - REV 01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="70" zoomScaleNormal="70" zoomScalePageLayoutView="0" workbookViewId="0" topLeftCell="A76">
      <selection activeCell="F109" sqref="F109"/>
    </sheetView>
  </sheetViews>
  <sheetFormatPr defaultColWidth="9.140625" defaultRowHeight="15"/>
  <cols>
    <col min="1" max="1" width="8.57421875" style="0" bestFit="1" customWidth="1"/>
    <col min="2" max="2" width="15.8515625" style="0" customWidth="1"/>
    <col min="3" max="3" width="11.00390625" style="11" bestFit="1" customWidth="1"/>
    <col min="4" max="4" width="87.28125" style="0" customWidth="1"/>
    <col min="5" max="5" width="12.00390625" style="0" bestFit="1" customWidth="1"/>
    <col min="6" max="6" width="8.140625" style="11" bestFit="1" customWidth="1"/>
    <col min="7" max="7" width="22.00390625" style="11" bestFit="1" customWidth="1"/>
    <col min="8" max="8" width="11.00390625" style="0" customWidth="1"/>
    <col min="9" max="9" width="21.140625" style="0" customWidth="1"/>
    <col min="10" max="10" width="22.57421875" style="0" customWidth="1"/>
  </cols>
  <sheetData>
    <row r="1" spans="1:10" s="28" customFormat="1" ht="19.5" customHeight="1" thickBot="1">
      <c r="A1" s="27"/>
      <c r="B1" s="27"/>
      <c r="C1" s="27" t="s">
        <v>67</v>
      </c>
      <c r="D1" s="27"/>
      <c r="E1" s="27"/>
      <c r="F1" s="27"/>
      <c r="G1" s="27"/>
      <c r="H1" s="27"/>
      <c r="I1" s="27"/>
      <c r="J1" s="27"/>
    </row>
    <row r="2" spans="1:10" s="28" customFormat="1" ht="18.75">
      <c r="A2" s="29"/>
      <c r="B2" s="30"/>
      <c r="C2" s="30" t="s">
        <v>212</v>
      </c>
      <c r="D2" s="30"/>
      <c r="E2" s="30"/>
      <c r="F2" s="30"/>
      <c r="G2" s="30"/>
      <c r="H2" s="30"/>
      <c r="I2" s="30"/>
      <c r="J2" s="31"/>
    </row>
    <row r="3" spans="1:10" s="28" customFormat="1" ht="15">
      <c r="A3" s="32"/>
      <c r="B3" s="33"/>
      <c r="C3" s="208" t="s">
        <v>404</v>
      </c>
      <c r="D3" s="199"/>
      <c r="E3" s="199"/>
      <c r="F3" s="199"/>
      <c r="G3" s="199"/>
      <c r="H3" s="199"/>
      <c r="I3" s="199"/>
      <c r="J3" s="209"/>
    </row>
    <row r="4" spans="1:10" s="28" customFormat="1" ht="15">
      <c r="A4" s="32"/>
      <c r="B4" s="33"/>
      <c r="C4" s="34" t="s">
        <v>105</v>
      </c>
      <c r="D4" s="35"/>
      <c r="E4" s="35"/>
      <c r="F4" s="35"/>
      <c r="G4" s="35"/>
      <c r="H4" s="35"/>
      <c r="I4" s="35"/>
      <c r="J4" s="36"/>
    </row>
    <row r="5" spans="1:10" s="28" customFormat="1" ht="14.25">
      <c r="A5" s="32"/>
      <c r="B5" s="33"/>
      <c r="C5" s="33"/>
      <c r="D5" s="33"/>
      <c r="E5" s="35"/>
      <c r="F5" s="33"/>
      <c r="G5" s="35"/>
      <c r="H5" s="33"/>
      <c r="I5" s="35"/>
      <c r="J5" s="36"/>
    </row>
    <row r="6" spans="1:10" s="28" customFormat="1" ht="18">
      <c r="A6" s="32"/>
      <c r="B6" s="37"/>
      <c r="C6" s="37"/>
      <c r="D6" s="38" t="s">
        <v>0</v>
      </c>
      <c r="E6" s="37"/>
      <c r="F6" s="37"/>
      <c r="G6" s="37"/>
      <c r="H6" s="37"/>
      <c r="I6" s="37"/>
      <c r="J6" s="39"/>
    </row>
    <row r="7" spans="1:10" s="28" customFormat="1" ht="18.75" thickBot="1">
      <c r="A7" s="40"/>
      <c r="B7" s="41"/>
      <c r="C7" s="41"/>
      <c r="D7" s="41"/>
      <c r="E7" s="42"/>
      <c r="F7" s="41"/>
      <c r="G7" s="42"/>
      <c r="H7" s="41"/>
      <c r="I7" s="42"/>
      <c r="J7" s="43"/>
    </row>
    <row r="8" spans="1:10" s="73" customFormat="1" ht="19.5" customHeight="1">
      <c r="A8" s="132" t="s">
        <v>1</v>
      </c>
      <c r="B8" s="134" t="s">
        <v>65</v>
      </c>
      <c r="C8" s="135" t="s">
        <v>66</v>
      </c>
      <c r="D8" s="132" t="s">
        <v>2</v>
      </c>
      <c r="E8" s="138" t="s">
        <v>32</v>
      </c>
      <c r="F8" s="133" t="s">
        <v>3</v>
      </c>
      <c r="G8" s="139" t="s">
        <v>4</v>
      </c>
      <c r="H8" s="136" t="s">
        <v>5</v>
      </c>
      <c r="I8" s="136" t="s">
        <v>200</v>
      </c>
      <c r="J8" s="137" t="s">
        <v>6</v>
      </c>
    </row>
    <row r="9" spans="1:10" s="109" customFormat="1" ht="15">
      <c r="A9" s="13">
        <v>1</v>
      </c>
      <c r="B9" s="14"/>
      <c r="C9" s="67"/>
      <c r="D9" s="99" t="s">
        <v>176</v>
      </c>
      <c r="E9" s="15"/>
      <c r="F9" s="16"/>
      <c r="G9" s="17"/>
      <c r="H9" s="18"/>
      <c r="I9" s="171"/>
      <c r="J9" s="217"/>
    </row>
    <row r="10" spans="1:10" s="95" customFormat="1" ht="14.25">
      <c r="A10" s="19" t="s">
        <v>7</v>
      </c>
      <c r="B10" s="20"/>
      <c r="C10" s="66"/>
      <c r="D10" s="172" t="s">
        <v>56</v>
      </c>
      <c r="E10" s="202"/>
      <c r="F10" s="173"/>
      <c r="G10" s="174"/>
      <c r="H10" s="176"/>
      <c r="I10" s="175"/>
      <c r="J10" s="177"/>
    </row>
    <row r="11" spans="1:10" s="95" customFormat="1" ht="14.25">
      <c r="A11" s="19" t="s">
        <v>183</v>
      </c>
      <c r="B11" s="20" t="s">
        <v>68</v>
      </c>
      <c r="C11" s="66" t="s">
        <v>8</v>
      </c>
      <c r="D11" s="100" t="s">
        <v>194</v>
      </c>
      <c r="E11" s="204">
        <f>Cronograma!AC12</f>
        <v>5</v>
      </c>
      <c r="F11" s="98" t="s">
        <v>10</v>
      </c>
      <c r="G11" s="96">
        <f>Composicoes!I9</f>
        <v>557.02</v>
      </c>
      <c r="H11" s="21">
        <v>0.1538</v>
      </c>
      <c r="I11" s="119">
        <f aca="true" t="shared" si="0" ref="I11:I18">TRUNC(G11*(1+H11),2)</f>
        <v>642.68</v>
      </c>
      <c r="J11" s="119">
        <f>Cronograma!AB12</f>
        <v>3213.3999999999996</v>
      </c>
    </row>
    <row r="12" spans="1:10" s="95" customFormat="1" ht="14.25">
      <c r="A12" s="19" t="s">
        <v>184</v>
      </c>
      <c r="B12" s="20" t="s">
        <v>68</v>
      </c>
      <c r="C12" s="66" t="s">
        <v>12</v>
      </c>
      <c r="D12" s="100" t="s">
        <v>187</v>
      </c>
      <c r="E12" s="204">
        <f>Cronograma!AC13</f>
        <v>10</v>
      </c>
      <c r="F12" s="98" t="s">
        <v>10</v>
      </c>
      <c r="G12" s="96">
        <f>Composicoes!I18</f>
        <v>139.27</v>
      </c>
      <c r="H12" s="21">
        <v>0.1538</v>
      </c>
      <c r="I12" s="119">
        <f t="shared" si="0"/>
        <v>160.68</v>
      </c>
      <c r="J12" s="119">
        <f>Cronograma!AB13</f>
        <v>1606.8000000000002</v>
      </c>
    </row>
    <row r="13" spans="1:10" s="95" customFormat="1" ht="14.25">
      <c r="A13" s="19" t="s">
        <v>185</v>
      </c>
      <c r="B13" s="20" t="s">
        <v>68</v>
      </c>
      <c r="C13" s="66" t="s">
        <v>14</v>
      </c>
      <c r="D13" s="100" t="s">
        <v>290</v>
      </c>
      <c r="E13" s="203">
        <f>Cronograma!AC14</f>
        <v>120</v>
      </c>
      <c r="F13" s="98" t="s">
        <v>182</v>
      </c>
      <c r="G13" s="96">
        <f>Composicoes!I27</f>
        <v>126.19</v>
      </c>
      <c r="H13" s="21">
        <v>0.1538</v>
      </c>
      <c r="I13" s="119">
        <f t="shared" si="0"/>
        <v>145.59</v>
      </c>
      <c r="J13" s="119">
        <f>Cronograma!AB14</f>
        <v>17470.8</v>
      </c>
    </row>
    <row r="14" spans="1:10" s="95" customFormat="1" ht="14.25">
      <c r="A14" s="19" t="s">
        <v>186</v>
      </c>
      <c r="B14" s="20" t="s">
        <v>68</v>
      </c>
      <c r="C14" s="66" t="s">
        <v>330</v>
      </c>
      <c r="D14" s="100" t="s">
        <v>333</v>
      </c>
      <c r="E14" s="203">
        <f>Cronograma!AC15</f>
        <v>10</v>
      </c>
      <c r="F14" s="98" t="s">
        <v>182</v>
      </c>
      <c r="G14" s="96">
        <f>Composicoes!I44</f>
        <v>94.03</v>
      </c>
      <c r="H14" s="21">
        <v>0.1538</v>
      </c>
      <c r="I14" s="119">
        <f t="shared" si="0"/>
        <v>108.49</v>
      </c>
      <c r="J14" s="119">
        <f>Cronograma!AB15</f>
        <v>1084.8999999999999</v>
      </c>
    </row>
    <row r="15" spans="1:10" s="95" customFormat="1" ht="14.25">
      <c r="A15" s="19" t="s">
        <v>188</v>
      </c>
      <c r="B15" s="20" t="s">
        <v>68</v>
      </c>
      <c r="C15" s="66" t="s">
        <v>331</v>
      </c>
      <c r="D15" s="100" t="s">
        <v>334</v>
      </c>
      <c r="E15" s="203">
        <f>Cronograma!AC16</f>
        <v>20</v>
      </c>
      <c r="F15" s="98" t="s">
        <v>182</v>
      </c>
      <c r="G15" s="96">
        <f>Composicoes!I61</f>
        <v>643.57</v>
      </c>
      <c r="H15" s="21">
        <v>0.1538</v>
      </c>
      <c r="I15" s="119">
        <f t="shared" si="0"/>
        <v>742.55</v>
      </c>
      <c r="J15" s="119">
        <f>Cronograma!AB16</f>
        <v>14850.999999999998</v>
      </c>
    </row>
    <row r="16" spans="1:10" s="95" customFormat="1" ht="14.25">
      <c r="A16" s="19" t="s">
        <v>332</v>
      </c>
      <c r="B16" s="20" t="s">
        <v>68</v>
      </c>
      <c r="C16" s="66" t="s">
        <v>15</v>
      </c>
      <c r="D16" s="100" t="s">
        <v>189</v>
      </c>
      <c r="E16" s="204">
        <f>Cronograma!AC17</f>
        <v>16</v>
      </c>
      <c r="F16" s="98" t="s">
        <v>10</v>
      </c>
      <c r="G16" s="96">
        <f>Composicoes!I81</f>
        <v>1236.77</v>
      </c>
      <c r="H16" s="21">
        <v>0.1538</v>
      </c>
      <c r="I16" s="119">
        <f t="shared" si="0"/>
        <v>1426.98</v>
      </c>
      <c r="J16" s="119">
        <f>Cronograma!AB17</f>
        <v>22831.68</v>
      </c>
    </row>
    <row r="17" spans="1:10" s="95" customFormat="1" ht="15">
      <c r="A17" s="19" t="s">
        <v>9</v>
      </c>
      <c r="B17" s="20" t="s">
        <v>68</v>
      </c>
      <c r="C17" s="66" t="s">
        <v>17</v>
      </c>
      <c r="D17" s="100" t="s">
        <v>174</v>
      </c>
      <c r="E17" s="203">
        <f>Cronograma!AC18</f>
        <v>10773.75</v>
      </c>
      <c r="F17" s="98" t="s">
        <v>156</v>
      </c>
      <c r="G17" s="96">
        <f>Composicoes!I97</f>
        <v>0.9</v>
      </c>
      <c r="H17" s="21">
        <v>0.1538</v>
      </c>
      <c r="I17" s="119">
        <f t="shared" si="0"/>
        <v>1.03</v>
      </c>
      <c r="J17" s="119">
        <f>Cronograma!AB18</f>
        <v>11096.96</v>
      </c>
    </row>
    <row r="18" spans="1:10" s="95" customFormat="1" ht="15">
      <c r="A18" s="19" t="s">
        <v>46</v>
      </c>
      <c r="B18" s="20" t="s">
        <v>68</v>
      </c>
      <c r="C18" s="66" t="s">
        <v>18</v>
      </c>
      <c r="D18" s="100" t="s">
        <v>177</v>
      </c>
      <c r="E18" s="203">
        <f>Cronograma!AC19</f>
        <v>7813.279999999999</v>
      </c>
      <c r="F18" s="98" t="s">
        <v>156</v>
      </c>
      <c r="G18" s="94">
        <f>Composicoes!I116</f>
        <v>2.42</v>
      </c>
      <c r="H18" s="21">
        <v>0.1538</v>
      </c>
      <c r="I18" s="119">
        <f t="shared" si="0"/>
        <v>2.79</v>
      </c>
      <c r="J18" s="119">
        <f>Cronograma!AB19</f>
        <v>21799.03</v>
      </c>
    </row>
    <row r="19" spans="1:10" s="95" customFormat="1" ht="14.25">
      <c r="A19" s="19" t="s">
        <v>122</v>
      </c>
      <c r="B19" s="20"/>
      <c r="C19" s="66"/>
      <c r="D19" s="172" t="s">
        <v>175</v>
      </c>
      <c r="E19" s="202"/>
      <c r="F19" s="173"/>
      <c r="G19" s="174"/>
      <c r="H19" s="176"/>
      <c r="I19" s="175"/>
      <c r="J19" s="223"/>
    </row>
    <row r="20" spans="1:10" s="95" customFormat="1" ht="15">
      <c r="A20" s="19" t="s">
        <v>354</v>
      </c>
      <c r="B20" s="20" t="s">
        <v>68</v>
      </c>
      <c r="C20" s="66" t="s">
        <v>369</v>
      </c>
      <c r="D20" s="100" t="s">
        <v>367</v>
      </c>
      <c r="E20" s="203">
        <f>Cronograma!AC21</f>
        <v>7813.279999999999</v>
      </c>
      <c r="F20" s="98" t="s">
        <v>156</v>
      </c>
      <c r="G20" s="96">
        <f>Composicoes!I129</f>
        <v>9.85</v>
      </c>
      <c r="H20" s="21">
        <v>0.1538</v>
      </c>
      <c r="I20" s="119">
        <f>TRUNC(G20*(1+H20),2)</f>
        <v>11.36</v>
      </c>
      <c r="J20" s="119">
        <f>Cronograma!AB21</f>
        <v>88758.85</v>
      </c>
    </row>
    <row r="21" spans="1:10" s="95" customFormat="1" ht="14.25">
      <c r="A21" s="19" t="s">
        <v>355</v>
      </c>
      <c r="B21" s="20"/>
      <c r="C21" s="66"/>
      <c r="D21" s="172" t="s">
        <v>368</v>
      </c>
      <c r="E21" s="202"/>
      <c r="F21" s="173"/>
      <c r="G21" s="174"/>
      <c r="H21" s="176"/>
      <c r="I21" s="175"/>
      <c r="J21" s="223"/>
    </row>
    <row r="22" spans="1:10" s="95" customFormat="1" ht="14.25">
      <c r="A22" s="19" t="s">
        <v>356</v>
      </c>
      <c r="B22" s="20" t="s">
        <v>68</v>
      </c>
      <c r="C22" s="66" t="s">
        <v>370</v>
      </c>
      <c r="D22" s="100" t="s">
        <v>381</v>
      </c>
      <c r="E22" s="204">
        <f>Cronograma!AC23</f>
        <v>7</v>
      </c>
      <c r="F22" s="98" t="s">
        <v>10</v>
      </c>
      <c r="G22" s="96">
        <f>Composicoes!I146</f>
        <v>6214.45</v>
      </c>
      <c r="H22" s="21">
        <v>0.1538</v>
      </c>
      <c r="I22" s="119">
        <f aca="true" t="shared" si="1" ref="I22:I34">TRUNC(G22*(1+H22),2)</f>
        <v>7170.23</v>
      </c>
      <c r="J22" s="119">
        <f>Cronograma!AB23</f>
        <v>50191.60999999999</v>
      </c>
    </row>
    <row r="23" spans="1:10" s="95" customFormat="1" ht="14.25">
      <c r="A23" s="19" t="s">
        <v>357</v>
      </c>
      <c r="B23" s="20" t="s">
        <v>68</v>
      </c>
      <c r="C23" s="66" t="s">
        <v>371</v>
      </c>
      <c r="D23" s="100" t="s">
        <v>347</v>
      </c>
      <c r="E23" s="204">
        <f>Cronograma!AC24</f>
        <v>21</v>
      </c>
      <c r="F23" s="98" t="s">
        <v>10</v>
      </c>
      <c r="G23" s="96">
        <f>Composicoes!I160</f>
        <v>206.53</v>
      </c>
      <c r="H23" s="21">
        <v>0.1538</v>
      </c>
      <c r="I23" s="119">
        <f t="shared" si="1"/>
        <v>238.29</v>
      </c>
      <c r="J23" s="119">
        <f>Cronograma!AB24</f>
        <v>5004.09</v>
      </c>
    </row>
    <row r="24" spans="1:10" s="95" customFormat="1" ht="14.25">
      <c r="A24" s="19" t="s">
        <v>358</v>
      </c>
      <c r="B24" s="20" t="s">
        <v>68</v>
      </c>
      <c r="C24" s="66" t="s">
        <v>372</v>
      </c>
      <c r="D24" s="100" t="s">
        <v>344</v>
      </c>
      <c r="E24" s="204">
        <f>Cronograma!AC25</f>
        <v>28</v>
      </c>
      <c r="F24" s="98" t="s">
        <v>10</v>
      </c>
      <c r="G24" s="96">
        <f>Composicoes!I169</f>
        <v>103.26</v>
      </c>
      <c r="H24" s="21">
        <v>0.1538</v>
      </c>
      <c r="I24" s="119">
        <f t="shared" si="1"/>
        <v>119.14</v>
      </c>
      <c r="J24" s="119">
        <f>Cronograma!AB25</f>
        <v>3335.92</v>
      </c>
    </row>
    <row r="25" spans="1:10" s="95" customFormat="1" ht="14.25">
      <c r="A25" s="19" t="s">
        <v>359</v>
      </c>
      <c r="B25" s="20" t="s">
        <v>68</v>
      </c>
      <c r="C25" s="66" t="s">
        <v>373</v>
      </c>
      <c r="D25" s="100" t="s">
        <v>345</v>
      </c>
      <c r="E25" s="204">
        <f>Cronograma!AC26</f>
        <v>7</v>
      </c>
      <c r="F25" s="98" t="s">
        <v>10</v>
      </c>
      <c r="G25" s="96">
        <f>Composicoes!I178</f>
        <v>154.89</v>
      </c>
      <c r="H25" s="21">
        <v>0.1538</v>
      </c>
      <c r="I25" s="119">
        <f t="shared" si="1"/>
        <v>178.71</v>
      </c>
      <c r="J25" s="119">
        <f>Cronograma!AB26</f>
        <v>1250.97</v>
      </c>
    </row>
    <row r="26" spans="1:10" s="95" customFormat="1" ht="14.25">
      <c r="A26" s="19" t="s">
        <v>360</v>
      </c>
      <c r="B26" s="20" t="s">
        <v>68</v>
      </c>
      <c r="C26" s="66" t="s">
        <v>374</v>
      </c>
      <c r="D26" s="100" t="s">
        <v>353</v>
      </c>
      <c r="E26" s="204">
        <f>Cronograma!AC27</f>
        <v>14</v>
      </c>
      <c r="F26" s="98" t="s">
        <v>10</v>
      </c>
      <c r="G26" s="267">
        <f>Composicoes!I187</f>
        <v>258.16</v>
      </c>
      <c r="H26" s="21">
        <v>0.1538</v>
      </c>
      <c r="I26" s="119">
        <f t="shared" si="1"/>
        <v>297.86</v>
      </c>
      <c r="J26" s="119">
        <f>Cronograma!AB27</f>
        <v>4170.040000000001</v>
      </c>
    </row>
    <row r="27" spans="1:10" s="95" customFormat="1" ht="14.25">
      <c r="A27" s="19" t="s">
        <v>361</v>
      </c>
      <c r="B27" s="20" t="s">
        <v>68</v>
      </c>
      <c r="C27" s="66" t="s">
        <v>375</v>
      </c>
      <c r="D27" s="100" t="s">
        <v>350</v>
      </c>
      <c r="E27" s="204">
        <f>Cronograma!AC28</f>
        <v>14</v>
      </c>
      <c r="F27" s="98" t="s">
        <v>10</v>
      </c>
      <c r="G27" s="96">
        <f>Composicoes!I196</f>
        <v>172.1</v>
      </c>
      <c r="H27" s="21">
        <v>0.1538</v>
      </c>
      <c r="I27" s="119">
        <f t="shared" si="1"/>
        <v>198.56</v>
      </c>
      <c r="J27" s="119">
        <f>Cronograma!AB28</f>
        <v>2779.84</v>
      </c>
    </row>
    <row r="28" spans="1:10" s="95" customFormat="1" ht="14.25">
      <c r="A28" s="19" t="s">
        <v>362</v>
      </c>
      <c r="B28" s="20" t="s">
        <v>68</v>
      </c>
      <c r="C28" s="66" t="s">
        <v>376</v>
      </c>
      <c r="D28" s="100" t="s">
        <v>351</v>
      </c>
      <c r="E28" s="204">
        <f>Cronograma!AC29</f>
        <v>14</v>
      </c>
      <c r="F28" s="98" t="s">
        <v>10</v>
      </c>
      <c r="G28" s="96">
        <f>Composicoes!I205</f>
        <v>172.1</v>
      </c>
      <c r="H28" s="21">
        <v>0.1538</v>
      </c>
      <c r="I28" s="119">
        <f t="shared" si="1"/>
        <v>198.56</v>
      </c>
      <c r="J28" s="119">
        <f>Cronograma!AB29</f>
        <v>2779.84</v>
      </c>
    </row>
    <row r="29" spans="1:10" s="95" customFormat="1" ht="14.25">
      <c r="A29" s="19" t="s">
        <v>363</v>
      </c>
      <c r="B29" s="20" t="s">
        <v>68</v>
      </c>
      <c r="C29" s="66" t="s">
        <v>377</v>
      </c>
      <c r="D29" s="100" t="s">
        <v>349</v>
      </c>
      <c r="E29" s="204">
        <f>Cronograma!AC30</f>
        <v>14</v>
      </c>
      <c r="F29" s="98" t="s">
        <v>10</v>
      </c>
      <c r="G29" s="96">
        <f>Composicoes!I214</f>
        <v>330.14</v>
      </c>
      <c r="H29" s="21">
        <v>0.1538</v>
      </c>
      <c r="I29" s="119">
        <f t="shared" si="1"/>
        <v>380.91</v>
      </c>
      <c r="J29" s="119">
        <f>Cronograma!AB30</f>
        <v>5332.740000000001</v>
      </c>
    </row>
    <row r="30" spans="1:10" s="95" customFormat="1" ht="14.25">
      <c r="A30" s="19" t="s">
        <v>364</v>
      </c>
      <c r="B30" s="20" t="s">
        <v>68</v>
      </c>
      <c r="C30" s="66" t="s">
        <v>378</v>
      </c>
      <c r="D30" s="100" t="s">
        <v>352</v>
      </c>
      <c r="E30" s="204">
        <f>Cronograma!AC31</f>
        <v>14</v>
      </c>
      <c r="F30" s="98" t="s">
        <v>10</v>
      </c>
      <c r="G30" s="96">
        <f>Composicoes!I224</f>
        <v>172.1</v>
      </c>
      <c r="H30" s="21">
        <v>0.1538</v>
      </c>
      <c r="I30" s="119">
        <f t="shared" si="1"/>
        <v>198.56</v>
      </c>
      <c r="J30" s="119">
        <f>Cronograma!AB31</f>
        <v>2779.84</v>
      </c>
    </row>
    <row r="31" spans="1:10" s="95" customFormat="1" ht="14.25">
      <c r="A31" s="19" t="s">
        <v>365</v>
      </c>
      <c r="B31" s="20" t="s">
        <v>68</v>
      </c>
      <c r="C31" s="66" t="s">
        <v>379</v>
      </c>
      <c r="D31" s="100" t="s">
        <v>346</v>
      </c>
      <c r="E31" s="204">
        <f>Cronograma!AC32</f>
        <v>42</v>
      </c>
      <c r="F31" s="98" t="s">
        <v>10</v>
      </c>
      <c r="G31" s="96">
        <f>Composicoes!I233</f>
        <v>103.26</v>
      </c>
      <c r="H31" s="21">
        <v>0.1538</v>
      </c>
      <c r="I31" s="119">
        <f t="shared" si="1"/>
        <v>119.14</v>
      </c>
      <c r="J31" s="119">
        <f>Cronograma!AB32</f>
        <v>5003.88</v>
      </c>
    </row>
    <row r="32" spans="1:10" s="95" customFormat="1" ht="14.25">
      <c r="A32" s="19" t="s">
        <v>366</v>
      </c>
      <c r="B32" s="20" t="s">
        <v>68</v>
      </c>
      <c r="C32" s="66" t="s">
        <v>380</v>
      </c>
      <c r="D32" s="100" t="s">
        <v>348</v>
      </c>
      <c r="E32" s="204">
        <f>Cronograma!AC33</f>
        <v>7</v>
      </c>
      <c r="F32" s="98" t="s">
        <v>10</v>
      </c>
      <c r="G32" s="96">
        <f>Composicoes!I242</f>
        <v>258.16</v>
      </c>
      <c r="H32" s="21">
        <v>0.1538</v>
      </c>
      <c r="I32" s="119">
        <f t="shared" si="1"/>
        <v>297.86</v>
      </c>
      <c r="J32" s="119">
        <f>Cronograma!AB33</f>
        <v>2085.0200000000004</v>
      </c>
    </row>
    <row r="33" spans="1:10" s="95" customFormat="1" ht="14.25">
      <c r="A33" s="19" t="s">
        <v>123</v>
      </c>
      <c r="B33" s="20" t="s">
        <v>68</v>
      </c>
      <c r="C33" s="66" t="s">
        <v>19</v>
      </c>
      <c r="D33" s="100" t="s">
        <v>178</v>
      </c>
      <c r="E33" s="204">
        <f>Cronograma!AC34</f>
        <v>3</v>
      </c>
      <c r="F33" s="98" t="s">
        <v>10</v>
      </c>
      <c r="G33" s="96">
        <f>Composicoes!I251</f>
        <v>2110.47</v>
      </c>
      <c r="H33" s="21">
        <v>0.1538</v>
      </c>
      <c r="I33" s="119">
        <f t="shared" si="1"/>
        <v>2435.06</v>
      </c>
      <c r="J33" s="119">
        <f>Cronograma!AB34</f>
        <v>7305.18</v>
      </c>
    </row>
    <row r="34" spans="1:10" s="95" customFormat="1" ht="14.25" customHeight="1">
      <c r="A34" s="19" t="s">
        <v>124</v>
      </c>
      <c r="B34" s="20" t="s">
        <v>68</v>
      </c>
      <c r="C34" s="66" t="s">
        <v>20</v>
      </c>
      <c r="D34" s="100" t="s">
        <v>139</v>
      </c>
      <c r="E34" s="204">
        <f>Cronograma!AC35</f>
        <v>3</v>
      </c>
      <c r="F34" s="98" t="s">
        <v>10</v>
      </c>
      <c r="G34" s="94">
        <f>Composicoes!I260</f>
        <v>3202.49</v>
      </c>
      <c r="H34" s="21">
        <v>0.1538</v>
      </c>
      <c r="I34" s="119">
        <f t="shared" si="1"/>
        <v>3695.03</v>
      </c>
      <c r="J34" s="119">
        <f>Cronograma!AB35</f>
        <v>11085.09</v>
      </c>
    </row>
    <row r="35" spans="1:10" s="109" customFormat="1" ht="15">
      <c r="A35" s="13">
        <v>2</v>
      </c>
      <c r="B35" s="14"/>
      <c r="C35" s="67"/>
      <c r="D35" s="99" t="s">
        <v>172</v>
      </c>
      <c r="E35" s="15"/>
      <c r="F35" s="16"/>
      <c r="G35" s="17"/>
      <c r="H35" s="18"/>
      <c r="I35" s="171"/>
      <c r="J35" s="217"/>
    </row>
    <row r="36" spans="1:10" s="95" customFormat="1" ht="15">
      <c r="A36" s="19" t="s">
        <v>11</v>
      </c>
      <c r="B36" s="20" t="s">
        <v>68</v>
      </c>
      <c r="C36" s="66" t="s">
        <v>298</v>
      </c>
      <c r="D36" s="100" t="s">
        <v>403</v>
      </c>
      <c r="E36" s="203">
        <f>Cronograma!AC37</f>
        <v>7813.279999999999</v>
      </c>
      <c r="F36" s="98" t="s">
        <v>156</v>
      </c>
      <c r="G36" s="94">
        <f>Composicoes!I273</f>
        <v>2.15</v>
      </c>
      <c r="H36" s="21">
        <v>0.1538</v>
      </c>
      <c r="I36" s="119">
        <f>TRUNC(G36*(1+H36),2)</f>
        <v>2.48</v>
      </c>
      <c r="J36" s="119">
        <f>Cronograma!AB37</f>
        <v>19376.93</v>
      </c>
    </row>
    <row r="37" spans="1:10" s="95" customFormat="1" ht="15">
      <c r="A37" s="19" t="s">
        <v>13</v>
      </c>
      <c r="B37" s="20" t="s">
        <v>68</v>
      </c>
      <c r="C37" s="66" t="s">
        <v>299</v>
      </c>
      <c r="D37" s="100" t="s">
        <v>297</v>
      </c>
      <c r="E37" s="203">
        <f>Cronograma!AC38</f>
        <v>7813.279999999999</v>
      </c>
      <c r="F37" s="98" t="s">
        <v>156</v>
      </c>
      <c r="G37" s="96">
        <f>Composicoes!I273</f>
        <v>2.15</v>
      </c>
      <c r="H37" s="21">
        <v>0.1538</v>
      </c>
      <c r="I37" s="119">
        <f>TRUNC(G37*(1+H37),2)</f>
        <v>2.48</v>
      </c>
      <c r="J37" s="119">
        <f>Cronograma!AB38</f>
        <v>19376.93</v>
      </c>
    </row>
    <row r="38" spans="1:10" s="95" customFormat="1" ht="15">
      <c r="A38" s="19" t="s">
        <v>291</v>
      </c>
      <c r="B38" s="20" t="s">
        <v>68</v>
      </c>
      <c r="C38" s="66" t="s">
        <v>300</v>
      </c>
      <c r="D38" s="100" t="s">
        <v>402</v>
      </c>
      <c r="E38" s="203">
        <f>Cronograma!AC39</f>
        <v>7813.279999999999</v>
      </c>
      <c r="F38" s="98" t="s">
        <v>156</v>
      </c>
      <c r="G38" s="96">
        <f>Composicoes!I273</f>
        <v>2.15</v>
      </c>
      <c r="H38" s="21">
        <v>0.1538</v>
      </c>
      <c r="I38" s="119">
        <f>TRUNC(G38*(1+H38),2)</f>
        <v>2.48</v>
      </c>
      <c r="J38" s="119">
        <f>Cronograma!AB39</f>
        <v>19376.93</v>
      </c>
    </row>
    <row r="39" spans="1:10" s="95" customFormat="1" ht="15">
      <c r="A39" s="19" t="s">
        <v>292</v>
      </c>
      <c r="B39" s="20" t="s">
        <v>68</v>
      </c>
      <c r="C39" s="66" t="s">
        <v>301</v>
      </c>
      <c r="D39" s="100" t="s">
        <v>294</v>
      </c>
      <c r="E39" s="203">
        <f>Cronograma!AC40</f>
        <v>7813.279999999999</v>
      </c>
      <c r="F39" s="98" t="s">
        <v>156</v>
      </c>
      <c r="G39" s="96">
        <f>Composicoes!I273</f>
        <v>2.15</v>
      </c>
      <c r="H39" s="21">
        <v>0.1538</v>
      </c>
      <c r="I39" s="119">
        <f>TRUNC(G39*(1+H39),2)</f>
        <v>2.48</v>
      </c>
      <c r="J39" s="119">
        <f>Cronograma!AB40</f>
        <v>19376.93</v>
      </c>
    </row>
    <row r="40" spans="1:10" s="95" customFormat="1" ht="15">
      <c r="A40" s="19" t="s">
        <v>293</v>
      </c>
      <c r="B40" s="20" t="s">
        <v>68</v>
      </c>
      <c r="C40" s="66" t="s">
        <v>302</v>
      </c>
      <c r="D40" s="100" t="s">
        <v>295</v>
      </c>
      <c r="E40" s="203">
        <f>Cronograma!AC41</f>
        <v>7813.279999999999</v>
      </c>
      <c r="F40" s="98" t="s">
        <v>156</v>
      </c>
      <c r="G40" s="96">
        <f>Composicoes!I273</f>
        <v>2.15</v>
      </c>
      <c r="H40" s="21">
        <v>0.1538</v>
      </c>
      <c r="I40" s="119">
        <f>TRUNC(G40*(1+H40),2)</f>
        <v>2.48</v>
      </c>
      <c r="J40" s="119">
        <f>Cronograma!AB41</f>
        <v>19376.93</v>
      </c>
    </row>
    <row r="41" spans="1:10" s="109" customFormat="1" ht="15">
      <c r="A41" s="13">
        <v>3</v>
      </c>
      <c r="B41" s="14"/>
      <c r="C41" s="67"/>
      <c r="D41" s="99" t="s">
        <v>171</v>
      </c>
      <c r="E41" s="15"/>
      <c r="F41" s="16"/>
      <c r="G41" s="17"/>
      <c r="H41" s="18"/>
      <c r="I41" s="171"/>
      <c r="J41" s="217"/>
    </row>
    <row r="42" spans="1:10" s="95" customFormat="1" ht="15">
      <c r="A42" s="19" t="s">
        <v>16</v>
      </c>
      <c r="B42" s="20" t="s">
        <v>68</v>
      </c>
      <c r="C42" s="66" t="s">
        <v>21</v>
      </c>
      <c r="D42" s="100" t="s">
        <v>196</v>
      </c>
      <c r="E42" s="203">
        <f>Cronograma!AC43</f>
        <v>3376.48</v>
      </c>
      <c r="F42" s="98" t="s">
        <v>156</v>
      </c>
      <c r="G42" s="96">
        <f>Composicoes!I328</f>
        <v>1.85</v>
      </c>
      <c r="H42" s="21">
        <v>0.1538</v>
      </c>
      <c r="I42" s="119">
        <f>TRUNC(G42*(1+H42),2)</f>
        <v>2.13</v>
      </c>
      <c r="J42" s="119">
        <f>Cronograma!AB43</f>
        <v>7191.89</v>
      </c>
    </row>
    <row r="43" spans="1:10" s="95" customFormat="1" ht="15">
      <c r="A43" s="19" t="s">
        <v>52</v>
      </c>
      <c r="B43" s="20" t="s">
        <v>68</v>
      </c>
      <c r="C43" s="66" t="s">
        <v>22</v>
      </c>
      <c r="D43" s="100" t="s">
        <v>214</v>
      </c>
      <c r="E43" s="203">
        <f>Cronograma!AC44</f>
        <v>10773.75</v>
      </c>
      <c r="F43" s="98" t="s">
        <v>156</v>
      </c>
      <c r="G43" s="96">
        <f>Composicoes!I337</f>
        <v>2.63</v>
      </c>
      <c r="H43" s="21">
        <v>0.1538</v>
      </c>
      <c r="I43" s="119">
        <f>TRUNC(G43*(1+H43),2)</f>
        <v>3.03</v>
      </c>
      <c r="J43" s="119">
        <f>Cronograma!AB44</f>
        <v>32644.46</v>
      </c>
    </row>
    <row r="44" spans="1:10" s="95" customFormat="1" ht="15">
      <c r="A44" s="19" t="s">
        <v>195</v>
      </c>
      <c r="B44" s="20" t="s">
        <v>68</v>
      </c>
      <c r="C44" s="66" t="s">
        <v>23</v>
      </c>
      <c r="D44" s="100" t="s">
        <v>197</v>
      </c>
      <c r="E44" s="203">
        <f>Cronograma!AC45</f>
        <v>7397.27</v>
      </c>
      <c r="F44" s="98" t="s">
        <v>156</v>
      </c>
      <c r="G44" s="96">
        <f>Composicoes!I358</f>
        <v>2.44</v>
      </c>
      <c r="H44" s="21">
        <v>0.1538</v>
      </c>
      <c r="I44" s="119">
        <f>TRUNC(G44*(1+H44),2)</f>
        <v>2.81</v>
      </c>
      <c r="J44" s="119">
        <f>Cronograma!AB45</f>
        <v>20786.32</v>
      </c>
    </row>
    <row r="45" spans="1:10" s="95" customFormat="1" ht="14.25">
      <c r="A45" s="19" t="s">
        <v>213</v>
      </c>
      <c r="B45" s="20" t="s">
        <v>68</v>
      </c>
      <c r="C45" s="66" t="s">
        <v>49</v>
      </c>
      <c r="D45" s="100" t="s">
        <v>198</v>
      </c>
      <c r="E45" s="204">
        <f>Cronograma!AC46</f>
        <v>3</v>
      </c>
      <c r="F45" s="98" t="s">
        <v>10</v>
      </c>
      <c r="G45" s="96">
        <f>Composicoes!I369</f>
        <v>1461.62</v>
      </c>
      <c r="H45" s="21">
        <v>0.1538</v>
      </c>
      <c r="I45" s="119">
        <f>TRUNC(G45*(1+H45),2)</f>
        <v>1686.41</v>
      </c>
      <c r="J45" s="119">
        <f>Cronograma!AB46</f>
        <v>5059.2300000000005</v>
      </c>
    </row>
    <row r="46" spans="1:10" s="109" customFormat="1" ht="15">
      <c r="A46" s="13">
        <v>4</v>
      </c>
      <c r="B46" s="14"/>
      <c r="C46" s="67"/>
      <c r="D46" s="99" t="s">
        <v>238</v>
      </c>
      <c r="E46" s="15"/>
      <c r="F46" s="16"/>
      <c r="G46" s="17"/>
      <c r="H46" s="18"/>
      <c r="I46" s="171"/>
      <c r="J46" s="217"/>
    </row>
    <row r="47" spans="1:10" s="95" customFormat="1" ht="14.25">
      <c r="A47" s="110" t="s">
        <v>90</v>
      </c>
      <c r="B47" s="111"/>
      <c r="C47" s="112"/>
      <c r="D47" s="113" t="s">
        <v>319</v>
      </c>
      <c r="E47" s="215"/>
      <c r="F47" s="114"/>
      <c r="G47" s="115"/>
      <c r="H47" s="117"/>
      <c r="I47" s="116"/>
      <c r="J47" s="118"/>
    </row>
    <row r="48" spans="1:10" s="95" customFormat="1" ht="15">
      <c r="A48" s="19" t="s">
        <v>201</v>
      </c>
      <c r="B48" s="20" t="s">
        <v>68</v>
      </c>
      <c r="C48" s="192" t="s">
        <v>318</v>
      </c>
      <c r="D48" s="205" t="s">
        <v>384</v>
      </c>
      <c r="E48" s="203">
        <f>Cronograma!AC49</f>
        <v>7813.279999999999</v>
      </c>
      <c r="F48" s="98" t="s">
        <v>156</v>
      </c>
      <c r="G48" s="94">
        <f>Composicoes!I391</f>
        <v>11.86</v>
      </c>
      <c r="H48" s="21">
        <v>0.1538</v>
      </c>
      <c r="I48" s="119">
        <f>TRUNC(G48*(1+H48),2)</f>
        <v>13.68</v>
      </c>
      <c r="J48" s="119">
        <f>Cronograma!AB49</f>
        <v>106885.65</v>
      </c>
    </row>
    <row r="49" spans="1:10" s="95" customFormat="1" ht="14.25">
      <c r="A49" s="110" t="s">
        <v>91</v>
      </c>
      <c r="B49" s="111"/>
      <c r="C49" s="112"/>
      <c r="D49" s="113" t="s">
        <v>129</v>
      </c>
      <c r="E49" s="215"/>
      <c r="F49" s="114"/>
      <c r="G49" s="115"/>
      <c r="H49" s="117"/>
      <c r="I49" s="116"/>
      <c r="J49" s="118"/>
    </row>
    <row r="50" spans="1:10" s="95" customFormat="1" ht="15">
      <c r="A50" s="19" t="s">
        <v>202</v>
      </c>
      <c r="B50" s="20" t="s">
        <v>68</v>
      </c>
      <c r="C50" s="66" t="s">
        <v>239</v>
      </c>
      <c r="D50" s="100" t="s">
        <v>385</v>
      </c>
      <c r="E50" s="203">
        <f>Cronograma!AC51</f>
        <v>7813.279999999999</v>
      </c>
      <c r="F50" s="98" t="s">
        <v>156</v>
      </c>
      <c r="G50" s="94">
        <f>Composicoes!I415</f>
        <v>5.99</v>
      </c>
      <c r="H50" s="21">
        <v>0.1538</v>
      </c>
      <c r="I50" s="119">
        <f>TRUNC(G50*(1+H50),2)</f>
        <v>6.91</v>
      </c>
      <c r="J50" s="119">
        <f>Cronograma!AB51</f>
        <v>53989.75</v>
      </c>
    </row>
    <row r="51" spans="1:10" s="95" customFormat="1" ht="15">
      <c r="A51" s="19" t="s">
        <v>203</v>
      </c>
      <c r="B51" s="20" t="s">
        <v>68</v>
      </c>
      <c r="C51" s="66" t="s">
        <v>240</v>
      </c>
      <c r="D51" s="100" t="s">
        <v>386</v>
      </c>
      <c r="E51" s="203">
        <f>Cronograma!AC52</f>
        <v>7813.279999999999</v>
      </c>
      <c r="F51" s="98" t="s">
        <v>156</v>
      </c>
      <c r="G51" s="94">
        <f>Composicoes!I439</f>
        <v>2.58</v>
      </c>
      <c r="H51" s="21">
        <v>0.1538</v>
      </c>
      <c r="I51" s="119">
        <f>TRUNC(G51*(1+H51),2)</f>
        <v>2.97</v>
      </c>
      <c r="J51" s="119">
        <f>Cronograma!AB52</f>
        <v>23205.43</v>
      </c>
    </row>
    <row r="52" spans="1:10" s="95" customFormat="1" ht="15">
      <c r="A52" s="19" t="s">
        <v>204</v>
      </c>
      <c r="B52" s="20" t="s">
        <v>68</v>
      </c>
      <c r="C52" s="192" t="s">
        <v>162</v>
      </c>
      <c r="D52" s="100" t="s">
        <v>387</v>
      </c>
      <c r="E52" s="203">
        <f>Cronograma!AC53</f>
        <v>7813.279999999999</v>
      </c>
      <c r="F52" s="98" t="s">
        <v>156</v>
      </c>
      <c r="G52" s="96">
        <f>Composicoes!I451</f>
        <v>4.23</v>
      </c>
      <c r="H52" s="21">
        <v>0.1538</v>
      </c>
      <c r="I52" s="119">
        <f>TRUNC(G52*(1+H52),2)</f>
        <v>4.88</v>
      </c>
      <c r="J52" s="119">
        <f>Cronograma!AB53</f>
        <v>38128.8</v>
      </c>
    </row>
    <row r="53" spans="1:10" s="95" customFormat="1" ht="14.25">
      <c r="A53" s="110" t="s">
        <v>205</v>
      </c>
      <c r="B53" s="111"/>
      <c r="C53" s="112"/>
      <c r="D53" s="113" t="s">
        <v>47</v>
      </c>
      <c r="E53" s="215"/>
      <c r="F53" s="114"/>
      <c r="G53" s="115"/>
      <c r="H53" s="117"/>
      <c r="I53" s="142"/>
      <c r="J53" s="218"/>
    </row>
    <row r="54" spans="1:10" s="95" customFormat="1" ht="14.25">
      <c r="A54" s="19" t="s">
        <v>206</v>
      </c>
      <c r="B54" s="20" t="s">
        <v>68</v>
      </c>
      <c r="C54" s="66" t="s">
        <v>241</v>
      </c>
      <c r="D54" s="100" t="s">
        <v>388</v>
      </c>
      <c r="E54" s="204">
        <f>Cronograma!AC55</f>
        <v>7</v>
      </c>
      <c r="F54" s="98" t="s">
        <v>10</v>
      </c>
      <c r="G54" s="94">
        <f>Composicoes!I475</f>
        <v>754.89</v>
      </c>
      <c r="H54" s="21">
        <v>0.1538</v>
      </c>
      <c r="I54" s="119">
        <f aca="true" t="shared" si="2" ref="I54:I63">TRUNC(G54*(1+H54),2)</f>
        <v>870.99</v>
      </c>
      <c r="J54" s="119">
        <f>Cronograma!AB55</f>
        <v>6096.93</v>
      </c>
    </row>
    <row r="55" spans="1:10" s="95" customFormat="1" ht="15">
      <c r="A55" s="19" t="s">
        <v>207</v>
      </c>
      <c r="B55" s="20" t="s">
        <v>68</v>
      </c>
      <c r="C55" s="66" t="s">
        <v>242</v>
      </c>
      <c r="D55" s="100" t="s">
        <v>389</v>
      </c>
      <c r="E55" s="203">
        <f>Cronograma!AC56</f>
        <v>7813.279999999999</v>
      </c>
      <c r="F55" s="98" t="s">
        <v>156</v>
      </c>
      <c r="G55" s="94">
        <f>Composicoes!I499</f>
        <v>0.9</v>
      </c>
      <c r="H55" s="21">
        <v>0.1538</v>
      </c>
      <c r="I55" s="119">
        <f t="shared" si="2"/>
        <v>1.03</v>
      </c>
      <c r="J55" s="119">
        <f>Cronograma!AB56</f>
        <v>8047.65</v>
      </c>
    </row>
    <row r="56" spans="1:10" s="95" customFormat="1" ht="14.25">
      <c r="A56" s="19" t="s">
        <v>208</v>
      </c>
      <c r="B56" s="20" t="s">
        <v>68</v>
      </c>
      <c r="C56" s="66" t="s">
        <v>243</v>
      </c>
      <c r="D56" s="100" t="s">
        <v>390</v>
      </c>
      <c r="E56" s="204">
        <f>Cronograma!AC57</f>
        <v>7</v>
      </c>
      <c r="F56" s="98" t="s">
        <v>10</v>
      </c>
      <c r="G56" s="94">
        <f>Composicoes!I523</f>
        <v>754.89</v>
      </c>
      <c r="H56" s="21">
        <v>0.1538</v>
      </c>
      <c r="I56" s="119">
        <f t="shared" si="2"/>
        <v>870.99</v>
      </c>
      <c r="J56" s="119">
        <f>Cronograma!AB57</f>
        <v>6096.93</v>
      </c>
    </row>
    <row r="57" spans="1:10" s="95" customFormat="1" ht="15">
      <c r="A57" s="19" t="s">
        <v>320</v>
      </c>
      <c r="B57" s="20" t="s">
        <v>68</v>
      </c>
      <c r="C57" s="66" t="s">
        <v>244</v>
      </c>
      <c r="D57" s="100" t="s">
        <v>391</v>
      </c>
      <c r="E57" s="203">
        <f>Cronograma!AC58</f>
        <v>7813.279999999999</v>
      </c>
      <c r="F57" s="98" t="s">
        <v>156</v>
      </c>
      <c r="G57" s="94">
        <f>Composicoes!I547</f>
        <v>3.01</v>
      </c>
      <c r="H57" s="21">
        <v>0.1538</v>
      </c>
      <c r="I57" s="119">
        <f t="shared" si="2"/>
        <v>3.47</v>
      </c>
      <c r="J57" s="119">
        <f>Cronograma!AB58</f>
        <v>27112.069999999996</v>
      </c>
    </row>
    <row r="58" spans="1:10" s="95" customFormat="1" ht="15">
      <c r="A58" s="19" t="s">
        <v>321</v>
      </c>
      <c r="B58" s="20" t="s">
        <v>68</v>
      </c>
      <c r="C58" s="66" t="s">
        <v>245</v>
      </c>
      <c r="D58" s="100" t="s">
        <v>414</v>
      </c>
      <c r="E58" s="203">
        <f>Cronograma!AC59</f>
        <v>7813.279999999999</v>
      </c>
      <c r="F58" s="98" t="s">
        <v>156</v>
      </c>
      <c r="G58" s="94">
        <f>Composicoes!I571</f>
        <v>1.54</v>
      </c>
      <c r="H58" s="21">
        <v>0.1538</v>
      </c>
      <c r="I58" s="119">
        <f>TRUNC(G58*(1+H58),2)</f>
        <v>1.77</v>
      </c>
      <c r="J58" s="119">
        <f>Cronograma!AB59</f>
        <v>13829.489999999998</v>
      </c>
    </row>
    <row r="59" spans="1:10" s="95" customFormat="1" ht="15">
      <c r="A59" s="19" t="s">
        <v>322</v>
      </c>
      <c r="B59" s="20" t="s">
        <v>68</v>
      </c>
      <c r="C59" s="66" t="s">
        <v>418</v>
      </c>
      <c r="D59" s="100" t="s">
        <v>416</v>
      </c>
      <c r="E59" s="203">
        <f>Cronograma!AC60</f>
        <v>15529.17</v>
      </c>
      <c r="F59" s="98" t="s">
        <v>156</v>
      </c>
      <c r="G59" s="96">
        <f>Composicoes!I595</f>
        <v>0.47</v>
      </c>
      <c r="H59" s="21">
        <v>0.1538</v>
      </c>
      <c r="I59" s="119">
        <f>TRUNC(G59*(1+H59),2)</f>
        <v>0.54</v>
      </c>
      <c r="J59" s="119">
        <f>Cronograma!AB60</f>
        <v>8385.74</v>
      </c>
    </row>
    <row r="60" spans="1:10" s="95" customFormat="1" ht="15">
      <c r="A60" s="19" t="s">
        <v>323</v>
      </c>
      <c r="B60" s="20" t="s">
        <v>68</v>
      </c>
      <c r="C60" s="66" t="s">
        <v>246</v>
      </c>
      <c r="D60" s="100" t="s">
        <v>392</v>
      </c>
      <c r="E60" s="203">
        <f>Cronograma!AC61</f>
        <v>7813.279999999999</v>
      </c>
      <c r="F60" s="98" t="s">
        <v>156</v>
      </c>
      <c r="G60" s="94">
        <f>Composicoes!I619</f>
        <v>1.17</v>
      </c>
      <c r="H60" s="21">
        <v>0.1538</v>
      </c>
      <c r="I60" s="119">
        <f t="shared" si="2"/>
        <v>1.34</v>
      </c>
      <c r="J60" s="119">
        <f>Cronograma!AB61</f>
        <v>10469.78</v>
      </c>
    </row>
    <row r="61" spans="1:10" s="95" customFormat="1" ht="15">
      <c r="A61" s="19" t="s">
        <v>324</v>
      </c>
      <c r="B61" s="20" t="s">
        <v>68</v>
      </c>
      <c r="C61" s="66" t="s">
        <v>247</v>
      </c>
      <c r="D61" s="100" t="s">
        <v>393</v>
      </c>
      <c r="E61" s="203">
        <f>Cronograma!AC62</f>
        <v>7813.279999999999</v>
      </c>
      <c r="F61" s="98" t="s">
        <v>156</v>
      </c>
      <c r="G61" s="94">
        <f>Composicoes!I643</f>
        <v>0.64</v>
      </c>
      <c r="H61" s="21">
        <v>0.1538</v>
      </c>
      <c r="I61" s="119">
        <f t="shared" si="2"/>
        <v>0.73</v>
      </c>
      <c r="J61" s="119">
        <f>Cronograma!AB62</f>
        <v>5703.669999999999</v>
      </c>
    </row>
    <row r="62" spans="1:10" s="95" customFormat="1" ht="15">
      <c r="A62" s="19" t="s">
        <v>325</v>
      </c>
      <c r="B62" s="20" t="s">
        <v>68</v>
      </c>
      <c r="C62" s="66" t="s">
        <v>308</v>
      </c>
      <c r="D62" s="100" t="s">
        <v>394</v>
      </c>
      <c r="E62" s="203">
        <f>Cronograma!AC63</f>
        <v>7813.279999999999</v>
      </c>
      <c r="F62" s="98" t="s">
        <v>156</v>
      </c>
      <c r="G62" s="94">
        <f>Composicoes!I667</f>
        <v>1.35</v>
      </c>
      <c r="H62" s="21">
        <v>0.1538</v>
      </c>
      <c r="I62" s="119">
        <f t="shared" si="2"/>
        <v>1.55</v>
      </c>
      <c r="J62" s="119">
        <f>Cronograma!AB63</f>
        <v>12110.560000000001</v>
      </c>
    </row>
    <row r="63" spans="1:10" s="95" customFormat="1" ht="14.25">
      <c r="A63" s="19" t="s">
        <v>415</v>
      </c>
      <c r="B63" s="20" t="s">
        <v>68</v>
      </c>
      <c r="C63" s="66" t="s">
        <v>248</v>
      </c>
      <c r="D63" s="100" t="s">
        <v>395</v>
      </c>
      <c r="E63" s="204">
        <f>Cronograma!AC64</f>
        <v>7</v>
      </c>
      <c r="F63" s="98" t="s">
        <v>10</v>
      </c>
      <c r="G63" s="94">
        <f>Composicoes!I703</f>
        <v>2233.13</v>
      </c>
      <c r="H63" s="21">
        <v>0.1538</v>
      </c>
      <c r="I63" s="119">
        <f t="shared" si="2"/>
        <v>2576.58</v>
      </c>
      <c r="J63" s="119">
        <f>Cronograma!AB64</f>
        <v>18036.059999999998</v>
      </c>
    </row>
    <row r="64" spans="1:10" s="95" customFormat="1" ht="14.25">
      <c r="A64" s="110" t="s">
        <v>209</v>
      </c>
      <c r="B64" s="111"/>
      <c r="C64" s="112"/>
      <c r="D64" s="113" t="s">
        <v>119</v>
      </c>
      <c r="E64" s="215"/>
      <c r="F64" s="114"/>
      <c r="G64" s="115"/>
      <c r="H64" s="117"/>
      <c r="I64" s="142"/>
      <c r="J64" s="218"/>
    </row>
    <row r="65" spans="1:10" s="95" customFormat="1" ht="15">
      <c r="A65" s="19" t="s">
        <v>210</v>
      </c>
      <c r="B65" s="20" t="s">
        <v>68</v>
      </c>
      <c r="C65" s="66" t="s">
        <v>249</v>
      </c>
      <c r="D65" s="100" t="s">
        <v>396</v>
      </c>
      <c r="E65" s="203">
        <f>Cronograma!AC66</f>
        <v>7813.279999999999</v>
      </c>
      <c r="F65" s="98" t="s">
        <v>156</v>
      </c>
      <c r="G65" s="94">
        <f>Composicoes!I727</f>
        <v>3.56</v>
      </c>
      <c r="H65" s="21">
        <v>0.1538</v>
      </c>
      <c r="I65" s="119">
        <f>TRUNC(G65*(1+H65),2)</f>
        <v>4.1</v>
      </c>
      <c r="J65" s="119">
        <f>Cronograma!AB66</f>
        <v>32034.43</v>
      </c>
    </row>
    <row r="66" spans="1:10" s="95" customFormat="1" ht="15">
      <c r="A66" s="19" t="s">
        <v>296</v>
      </c>
      <c r="B66" s="20" t="s">
        <v>68</v>
      </c>
      <c r="C66" s="66" t="s">
        <v>250</v>
      </c>
      <c r="D66" s="100" t="s">
        <v>397</v>
      </c>
      <c r="E66" s="203">
        <f>Cronograma!AC67</f>
        <v>7813.279999999999</v>
      </c>
      <c r="F66" s="98" t="s">
        <v>156</v>
      </c>
      <c r="G66" s="94">
        <f>Composicoes!I751</f>
        <v>2.64</v>
      </c>
      <c r="H66" s="21">
        <v>0.1538</v>
      </c>
      <c r="I66" s="119">
        <f>TRUNC(G66*(1+H66),2)</f>
        <v>3.04</v>
      </c>
      <c r="J66" s="119">
        <f>Cronograma!AB67</f>
        <v>23752.35</v>
      </c>
    </row>
    <row r="67" spans="1:10" s="95" customFormat="1" ht="15">
      <c r="A67" s="19" t="s">
        <v>326</v>
      </c>
      <c r="B67" s="20" t="s">
        <v>68</v>
      </c>
      <c r="C67" s="66" t="s">
        <v>251</v>
      </c>
      <c r="D67" s="100" t="s">
        <v>398</v>
      </c>
      <c r="E67" s="203">
        <f>Cronograma!AC68</f>
        <v>7813.279999999999</v>
      </c>
      <c r="F67" s="98" t="s">
        <v>156</v>
      </c>
      <c r="G67" s="94">
        <f>Composicoes!I775</f>
        <v>1.86</v>
      </c>
      <c r="H67" s="21">
        <v>0.1538</v>
      </c>
      <c r="I67" s="119">
        <f>TRUNC(G67*(1+H67),2)</f>
        <v>2.14</v>
      </c>
      <c r="J67" s="119">
        <f>Cronograma!AB68</f>
        <v>16720.4</v>
      </c>
    </row>
    <row r="68" spans="1:10" s="109" customFormat="1" ht="15">
      <c r="A68" s="13">
        <v>5</v>
      </c>
      <c r="B68" s="14"/>
      <c r="C68" s="67"/>
      <c r="D68" s="99" t="s">
        <v>173</v>
      </c>
      <c r="E68" s="15"/>
      <c r="F68" s="16"/>
      <c r="G68" s="17"/>
      <c r="H68" s="18"/>
      <c r="I68" s="171"/>
      <c r="J68" s="217"/>
    </row>
    <row r="69" spans="1:10" s="95" customFormat="1" ht="14.25">
      <c r="A69" s="110" t="s">
        <v>97</v>
      </c>
      <c r="B69" s="111"/>
      <c r="C69" s="112"/>
      <c r="D69" s="113" t="s">
        <v>129</v>
      </c>
      <c r="E69" s="215"/>
      <c r="F69" s="114"/>
      <c r="G69" s="115"/>
      <c r="H69" s="117"/>
      <c r="I69" s="116"/>
      <c r="J69" s="118"/>
    </row>
    <row r="70" spans="1:10" s="95" customFormat="1" ht="15">
      <c r="A70" s="19" t="s">
        <v>262</v>
      </c>
      <c r="B70" s="20" t="s">
        <v>68</v>
      </c>
      <c r="C70" s="66" t="s">
        <v>50</v>
      </c>
      <c r="D70" s="100" t="s">
        <v>78</v>
      </c>
      <c r="E70" s="203">
        <f>Cronograma!AC71</f>
        <v>3376.48</v>
      </c>
      <c r="F70" s="98" t="s">
        <v>156</v>
      </c>
      <c r="G70" s="94">
        <f>Composicoes!I379</f>
        <v>8.22</v>
      </c>
      <c r="H70" s="21">
        <v>0.1538</v>
      </c>
      <c r="I70" s="119">
        <f>TRUNC(G70*(1+H70),2)</f>
        <v>9.48</v>
      </c>
      <c r="J70" s="119">
        <f>Cronograma!AB71</f>
        <v>32009.03</v>
      </c>
    </row>
    <row r="71" spans="1:10" s="95" customFormat="1" ht="15">
      <c r="A71" s="19" t="s">
        <v>263</v>
      </c>
      <c r="B71" s="20" t="s">
        <v>68</v>
      </c>
      <c r="C71" s="66" t="s">
        <v>252</v>
      </c>
      <c r="D71" s="100" t="s">
        <v>155</v>
      </c>
      <c r="E71" s="203">
        <f>Cronograma!AC72</f>
        <v>3376.48</v>
      </c>
      <c r="F71" s="98" t="s">
        <v>156</v>
      </c>
      <c r="G71" s="94">
        <f>Composicoes!I403</f>
        <v>9.89</v>
      </c>
      <c r="H71" s="21">
        <v>0.1538</v>
      </c>
      <c r="I71" s="119">
        <f>TRUNC(G71*(1+H71),2)</f>
        <v>11.41</v>
      </c>
      <c r="J71" s="119">
        <f>Cronograma!AB72</f>
        <v>38525.62</v>
      </c>
    </row>
    <row r="72" spans="1:10" s="95" customFormat="1" ht="15">
      <c r="A72" s="19" t="s">
        <v>264</v>
      </c>
      <c r="B72" s="20" t="s">
        <v>68</v>
      </c>
      <c r="C72" s="66" t="s">
        <v>253</v>
      </c>
      <c r="D72" s="100" t="s">
        <v>338</v>
      </c>
      <c r="E72" s="203">
        <f>Cronograma!AC73</f>
        <v>3376.48</v>
      </c>
      <c r="F72" s="98" t="s">
        <v>156</v>
      </c>
      <c r="G72" s="96">
        <f>Composicoes!I427</f>
        <v>4.23</v>
      </c>
      <c r="H72" s="21">
        <v>0.1538</v>
      </c>
      <c r="I72" s="119">
        <f>TRUNC(G72*(1+H72),2)</f>
        <v>4.88</v>
      </c>
      <c r="J72" s="119">
        <f>Cronograma!AB73</f>
        <v>16477.22</v>
      </c>
    </row>
    <row r="73" spans="1:10" s="95" customFormat="1" ht="14.25">
      <c r="A73" s="110" t="s">
        <v>98</v>
      </c>
      <c r="B73" s="111"/>
      <c r="C73" s="112"/>
      <c r="D73" s="113" t="s">
        <v>47</v>
      </c>
      <c r="E73" s="215"/>
      <c r="F73" s="114"/>
      <c r="G73" s="115"/>
      <c r="H73" s="117"/>
      <c r="I73" s="142"/>
      <c r="J73" s="218"/>
    </row>
    <row r="74" spans="1:10" s="95" customFormat="1" ht="14.25">
      <c r="A74" s="19" t="s">
        <v>265</v>
      </c>
      <c r="B74" s="20" t="s">
        <v>68</v>
      </c>
      <c r="C74" s="66" t="s">
        <v>254</v>
      </c>
      <c r="D74" s="100" t="s">
        <v>168</v>
      </c>
      <c r="E74" s="204">
        <f>Cronograma!AC75</f>
        <v>3</v>
      </c>
      <c r="F74" s="98" t="s">
        <v>10</v>
      </c>
      <c r="G74" s="94">
        <f>Composicoes!I463</f>
        <v>1226.28</v>
      </c>
      <c r="H74" s="21">
        <v>0.1538</v>
      </c>
      <c r="I74" s="119">
        <f aca="true" t="shared" si="3" ref="I74:I84">TRUNC(G74*(1+H74),2)</f>
        <v>1414.88</v>
      </c>
      <c r="J74" s="119">
        <f>Cronograma!AB75</f>
        <v>4244.64</v>
      </c>
    </row>
    <row r="75" spans="1:10" s="95" customFormat="1" ht="15">
      <c r="A75" s="19" t="s">
        <v>266</v>
      </c>
      <c r="B75" s="20" t="s">
        <v>68</v>
      </c>
      <c r="C75" s="66" t="s">
        <v>255</v>
      </c>
      <c r="D75" s="100" t="s">
        <v>167</v>
      </c>
      <c r="E75" s="203">
        <f>Cronograma!AC76</f>
        <v>3376.48</v>
      </c>
      <c r="F75" s="98" t="s">
        <v>156</v>
      </c>
      <c r="G75" s="94">
        <f>Composicoes!I487</f>
        <v>1.48</v>
      </c>
      <c r="H75" s="21">
        <v>0.1538</v>
      </c>
      <c r="I75" s="119">
        <f t="shared" si="3"/>
        <v>1.7</v>
      </c>
      <c r="J75" s="119">
        <f>Cronograma!AB76</f>
        <v>5740.01</v>
      </c>
    </row>
    <row r="76" spans="1:10" s="95" customFormat="1" ht="14.25">
      <c r="A76" s="19" t="s">
        <v>267</v>
      </c>
      <c r="B76" s="20" t="s">
        <v>68</v>
      </c>
      <c r="C76" s="66" t="s">
        <v>256</v>
      </c>
      <c r="D76" s="100" t="s">
        <v>163</v>
      </c>
      <c r="E76" s="204">
        <f>Cronograma!AC77</f>
        <v>3</v>
      </c>
      <c r="F76" s="98" t="s">
        <v>10</v>
      </c>
      <c r="G76" s="94">
        <f>Composicoes!I511</f>
        <v>1226.28</v>
      </c>
      <c r="H76" s="21">
        <v>0.1538</v>
      </c>
      <c r="I76" s="119">
        <f t="shared" si="3"/>
        <v>1414.88</v>
      </c>
      <c r="J76" s="119">
        <f>Cronograma!AB77</f>
        <v>4244.64</v>
      </c>
    </row>
    <row r="77" spans="1:10" s="95" customFormat="1" ht="15">
      <c r="A77" s="19" t="s">
        <v>268</v>
      </c>
      <c r="B77" s="20" t="s">
        <v>68</v>
      </c>
      <c r="C77" s="66" t="s">
        <v>257</v>
      </c>
      <c r="D77" s="100" t="s">
        <v>164</v>
      </c>
      <c r="E77" s="203">
        <f>Cronograma!AC78</f>
        <v>3376.48</v>
      </c>
      <c r="F77" s="98" t="s">
        <v>156</v>
      </c>
      <c r="G77" s="94">
        <f>Composicoes!I535</f>
        <v>4.98</v>
      </c>
      <c r="H77" s="21">
        <v>0.1538</v>
      </c>
      <c r="I77" s="119">
        <f t="shared" si="3"/>
        <v>5.74</v>
      </c>
      <c r="J77" s="119">
        <f>Cronograma!AB78</f>
        <v>19380.989999999998</v>
      </c>
    </row>
    <row r="78" spans="1:10" s="95" customFormat="1" ht="15">
      <c r="A78" s="19" t="s">
        <v>269</v>
      </c>
      <c r="B78" s="20" t="s">
        <v>68</v>
      </c>
      <c r="C78" s="66" t="s">
        <v>258</v>
      </c>
      <c r="D78" s="100" t="s">
        <v>412</v>
      </c>
      <c r="E78" s="203">
        <f>Cronograma!AC79</f>
        <v>3376.48</v>
      </c>
      <c r="F78" s="98" t="s">
        <v>156</v>
      </c>
      <c r="G78" s="94">
        <f>Composicoes!I559</f>
        <v>2.52</v>
      </c>
      <c r="H78" s="21">
        <v>0.1538</v>
      </c>
      <c r="I78" s="119">
        <f>TRUNC(G78*(1+H78),2)</f>
        <v>2.9</v>
      </c>
      <c r="J78" s="119">
        <f>Cronograma!AB79</f>
        <v>9791.79</v>
      </c>
    </row>
    <row r="79" spans="1:10" s="95" customFormat="1" ht="15">
      <c r="A79" s="19" t="s">
        <v>270</v>
      </c>
      <c r="B79" s="20" t="s">
        <v>68</v>
      </c>
      <c r="C79" s="66" t="s">
        <v>419</v>
      </c>
      <c r="D79" s="100" t="s">
        <v>413</v>
      </c>
      <c r="E79" s="203">
        <f>Cronograma!AC80</f>
        <v>7397.27</v>
      </c>
      <c r="F79" s="98" t="s">
        <v>156</v>
      </c>
      <c r="G79" s="96">
        <f>Composicoes!I583</f>
        <v>0.75</v>
      </c>
      <c r="H79" s="21">
        <v>0.1538</v>
      </c>
      <c r="I79" s="119">
        <f>TRUNC(G79*(1+H79),2)</f>
        <v>0.86</v>
      </c>
      <c r="J79" s="119">
        <f>Cronograma!AB80</f>
        <v>6361.639999999999</v>
      </c>
    </row>
    <row r="80" spans="1:10" s="95" customFormat="1" ht="15">
      <c r="A80" s="19" t="s">
        <v>271</v>
      </c>
      <c r="B80" s="20" t="s">
        <v>68</v>
      </c>
      <c r="C80" s="66" t="s">
        <v>259</v>
      </c>
      <c r="D80" s="100" t="s">
        <v>165</v>
      </c>
      <c r="E80" s="203">
        <f>Cronograma!AC81</f>
        <v>3376.48</v>
      </c>
      <c r="F80" s="98" t="s">
        <v>156</v>
      </c>
      <c r="G80" s="94">
        <f>Composicoes!I607</f>
        <v>1.93</v>
      </c>
      <c r="H80" s="21">
        <v>0.1538</v>
      </c>
      <c r="I80" s="119">
        <f t="shared" si="3"/>
        <v>2.22</v>
      </c>
      <c r="J80" s="119">
        <f>Cronograma!AB81</f>
        <v>7495.780000000001</v>
      </c>
    </row>
    <row r="81" spans="1:10" s="95" customFormat="1" ht="15">
      <c r="A81" s="19" t="s">
        <v>272</v>
      </c>
      <c r="B81" s="20" t="s">
        <v>68</v>
      </c>
      <c r="C81" s="66" t="s">
        <v>260</v>
      </c>
      <c r="D81" s="100" t="s">
        <v>166</v>
      </c>
      <c r="E81" s="203">
        <f>Cronograma!AC82</f>
        <v>3376.48</v>
      </c>
      <c r="F81" s="98" t="s">
        <v>156</v>
      </c>
      <c r="G81" s="94">
        <f>Composicoes!I631</f>
        <v>1.02</v>
      </c>
      <c r="H81" s="21">
        <v>0.1538</v>
      </c>
      <c r="I81" s="119">
        <f t="shared" si="3"/>
        <v>1.17</v>
      </c>
      <c r="J81" s="119">
        <f>Cronograma!AB82</f>
        <v>3950.4700000000003</v>
      </c>
    </row>
    <row r="82" spans="1:10" s="95" customFormat="1" ht="15">
      <c r="A82" s="19" t="s">
        <v>273</v>
      </c>
      <c r="B82" s="20" t="s">
        <v>68</v>
      </c>
      <c r="C82" s="66" t="s">
        <v>261</v>
      </c>
      <c r="D82" s="100" t="s">
        <v>170</v>
      </c>
      <c r="E82" s="203">
        <f>Cronograma!AC83</f>
        <v>3376.48</v>
      </c>
      <c r="F82" s="98" t="s">
        <v>156</v>
      </c>
      <c r="G82" s="94">
        <f>Composicoes!I655</f>
        <v>2.22</v>
      </c>
      <c r="H82" s="21">
        <v>0.1538</v>
      </c>
      <c r="I82" s="119">
        <f t="shared" si="3"/>
        <v>2.56</v>
      </c>
      <c r="J82" s="119">
        <f>Cronograma!AB83</f>
        <v>8643.779999999999</v>
      </c>
    </row>
    <row r="83" spans="1:10" s="95" customFormat="1" ht="14.25">
      <c r="A83" s="19" t="s">
        <v>274</v>
      </c>
      <c r="B83" s="20" t="s">
        <v>68</v>
      </c>
      <c r="C83" s="66" t="s">
        <v>179</v>
      </c>
      <c r="D83" s="100" t="s">
        <v>329</v>
      </c>
      <c r="E83" s="204">
        <f>Cronograma!AC84</f>
        <v>3</v>
      </c>
      <c r="F83" s="98" t="s">
        <v>10</v>
      </c>
      <c r="G83" s="94">
        <f>Composicoes!I679</f>
        <v>1226.28</v>
      </c>
      <c r="H83" s="21">
        <v>0.1538</v>
      </c>
      <c r="I83" s="119">
        <f t="shared" si="3"/>
        <v>1414.88</v>
      </c>
      <c r="J83" s="119">
        <f>Cronograma!AB84</f>
        <v>4244.64</v>
      </c>
    </row>
    <row r="84" spans="1:10" s="95" customFormat="1" ht="14.25">
      <c r="A84" s="19" t="s">
        <v>411</v>
      </c>
      <c r="B84" s="20" t="s">
        <v>68</v>
      </c>
      <c r="C84" s="66" t="s">
        <v>303</v>
      </c>
      <c r="D84" s="100" t="s">
        <v>169</v>
      </c>
      <c r="E84" s="204">
        <f>Cronograma!AC85</f>
        <v>3</v>
      </c>
      <c r="F84" s="98" t="s">
        <v>10</v>
      </c>
      <c r="G84" s="94">
        <f>Composicoes!I691</f>
        <v>3689.8</v>
      </c>
      <c r="H84" s="21">
        <v>0.1538</v>
      </c>
      <c r="I84" s="119">
        <f t="shared" si="3"/>
        <v>4257.29</v>
      </c>
      <c r="J84" s="119">
        <f>Cronograma!AB85</f>
        <v>12771.869999999999</v>
      </c>
    </row>
    <row r="85" spans="1:10" s="95" customFormat="1" ht="14.25">
      <c r="A85" s="110" t="s">
        <v>275</v>
      </c>
      <c r="B85" s="111"/>
      <c r="C85" s="112"/>
      <c r="D85" s="113" t="s">
        <v>119</v>
      </c>
      <c r="E85" s="216"/>
      <c r="F85" s="114"/>
      <c r="G85" s="115"/>
      <c r="H85" s="117"/>
      <c r="I85" s="142"/>
      <c r="J85" s="218"/>
    </row>
    <row r="86" spans="1:10" s="95" customFormat="1" ht="15">
      <c r="A86" s="19" t="s">
        <v>276</v>
      </c>
      <c r="B86" s="20" t="s">
        <v>68</v>
      </c>
      <c r="C86" s="66" t="s">
        <v>304</v>
      </c>
      <c r="D86" s="100" t="s">
        <v>157</v>
      </c>
      <c r="E86" s="203">
        <f>Cronograma!AC87</f>
        <v>3376.48</v>
      </c>
      <c r="F86" s="98" t="s">
        <v>156</v>
      </c>
      <c r="G86" s="94">
        <f>Composicoes!I715</f>
        <v>5.84</v>
      </c>
      <c r="H86" s="21">
        <v>0.1538</v>
      </c>
      <c r="I86" s="119">
        <f>TRUNC(G86*(1+H86),2)</f>
        <v>6.73</v>
      </c>
      <c r="J86" s="119">
        <f>Cronograma!AB87</f>
        <v>22723.7</v>
      </c>
    </row>
    <row r="87" spans="1:10" s="95" customFormat="1" ht="15">
      <c r="A87" s="19" t="s">
        <v>277</v>
      </c>
      <c r="B87" s="20" t="s">
        <v>68</v>
      </c>
      <c r="C87" s="66" t="s">
        <v>305</v>
      </c>
      <c r="D87" s="100" t="s">
        <v>161</v>
      </c>
      <c r="E87" s="203">
        <f>Cronograma!AC88</f>
        <v>10773.75</v>
      </c>
      <c r="F87" s="98" t="s">
        <v>156</v>
      </c>
      <c r="G87" s="94">
        <f>Composicoes!I739</f>
        <v>4.32</v>
      </c>
      <c r="H87" s="21">
        <v>0.1538</v>
      </c>
      <c r="I87" s="119">
        <f>TRUNC(G87*(1+H87),2)</f>
        <v>4.98</v>
      </c>
      <c r="J87" s="119">
        <f>Cronograma!AB88</f>
        <v>53653.270000000004</v>
      </c>
    </row>
    <row r="88" spans="1:10" s="95" customFormat="1" ht="15">
      <c r="A88" s="19" t="s">
        <v>278</v>
      </c>
      <c r="B88" s="20" t="s">
        <v>68</v>
      </c>
      <c r="C88" s="66" t="s">
        <v>306</v>
      </c>
      <c r="D88" s="100" t="s">
        <v>158</v>
      </c>
      <c r="E88" s="203">
        <f>Cronograma!AC89</f>
        <v>3376.48</v>
      </c>
      <c r="F88" s="98" t="s">
        <v>156</v>
      </c>
      <c r="G88" s="94">
        <f>Composicoes!I763</f>
        <v>3</v>
      </c>
      <c r="H88" s="21">
        <v>0.1538</v>
      </c>
      <c r="I88" s="119">
        <f>TRUNC(G88*(1+H88),2)</f>
        <v>3.46</v>
      </c>
      <c r="J88" s="119">
        <f>Cronograma!AB89</f>
        <v>11682.62</v>
      </c>
    </row>
    <row r="89" spans="1:10" s="95" customFormat="1" ht="14.25">
      <c r="A89" s="110" t="s">
        <v>279</v>
      </c>
      <c r="B89" s="111"/>
      <c r="C89" s="112"/>
      <c r="D89" s="113" t="s">
        <v>118</v>
      </c>
      <c r="E89" s="216"/>
      <c r="F89" s="114"/>
      <c r="G89" s="115"/>
      <c r="H89" s="117"/>
      <c r="I89" s="142"/>
      <c r="J89" s="218"/>
    </row>
    <row r="90" spans="1:10" s="95" customFormat="1" ht="28.5">
      <c r="A90" s="19" t="s">
        <v>286</v>
      </c>
      <c r="B90" s="20" t="s">
        <v>68</v>
      </c>
      <c r="C90" s="66" t="s">
        <v>316</v>
      </c>
      <c r="D90" s="100" t="s">
        <v>53</v>
      </c>
      <c r="E90" s="203">
        <f>Cronograma!AC91</f>
        <v>3376.48</v>
      </c>
      <c r="F90" s="98" t="s">
        <v>156</v>
      </c>
      <c r="G90" s="94">
        <f>Composicoes!I787</f>
        <v>6.03</v>
      </c>
      <c r="H90" s="21">
        <v>0.1538</v>
      </c>
      <c r="I90" s="119">
        <f>TRUNC(G90*(1+H90),2)</f>
        <v>6.95</v>
      </c>
      <c r="J90" s="119">
        <f>Cronograma!AB91</f>
        <v>23466.52</v>
      </c>
    </row>
    <row r="91" spans="1:10" s="95" customFormat="1" ht="14.25">
      <c r="A91" s="110" t="s">
        <v>281</v>
      </c>
      <c r="B91" s="111"/>
      <c r="C91" s="112"/>
      <c r="D91" s="113" t="s">
        <v>159</v>
      </c>
      <c r="E91" s="215"/>
      <c r="F91" s="114"/>
      <c r="G91" s="115"/>
      <c r="H91" s="117"/>
      <c r="I91" s="142"/>
      <c r="J91" s="218"/>
    </row>
    <row r="92" spans="1:10" s="95" customFormat="1" ht="14.25">
      <c r="A92" s="19" t="s">
        <v>280</v>
      </c>
      <c r="B92" s="20" t="s">
        <v>68</v>
      </c>
      <c r="C92" s="66" t="s">
        <v>399</v>
      </c>
      <c r="D92" s="100" t="s">
        <v>328</v>
      </c>
      <c r="E92" s="204">
        <f>Cronograma!AC93</f>
        <v>3</v>
      </c>
      <c r="F92" s="98" t="s">
        <v>10</v>
      </c>
      <c r="G92" s="94">
        <f>Composicoes!I800</f>
        <v>1845.44</v>
      </c>
      <c r="H92" s="21">
        <v>0.1538</v>
      </c>
      <c r="I92" s="119">
        <f>TRUNC(G92*(1+H92),2)</f>
        <v>2129.26</v>
      </c>
      <c r="J92" s="119">
        <f>Cronograma!AB93</f>
        <v>6387.780000000001</v>
      </c>
    </row>
    <row r="93" spans="1:10" s="95" customFormat="1" ht="15">
      <c r="A93" s="19" t="s">
        <v>282</v>
      </c>
      <c r="B93" s="20" t="s">
        <v>68</v>
      </c>
      <c r="C93" s="66" t="s">
        <v>400</v>
      </c>
      <c r="D93" s="100" t="s">
        <v>117</v>
      </c>
      <c r="E93" s="203">
        <f>Cronograma!AC94</f>
        <v>2701.184</v>
      </c>
      <c r="F93" s="98" t="s">
        <v>156</v>
      </c>
      <c r="G93" s="94">
        <f>Composicoes!I812</f>
        <v>4.13</v>
      </c>
      <c r="H93" s="21">
        <v>0.1538</v>
      </c>
      <c r="I93" s="119">
        <f>TRUNC(G93*(1+H93),2)</f>
        <v>4.76</v>
      </c>
      <c r="J93" s="119">
        <f>Cronograma!AB94</f>
        <v>12857.62</v>
      </c>
    </row>
    <row r="94" spans="1:10" s="95" customFormat="1" ht="14.25">
      <c r="A94" s="19" t="s">
        <v>283</v>
      </c>
      <c r="B94" s="20" t="s">
        <v>68</v>
      </c>
      <c r="C94" s="66" t="s">
        <v>317</v>
      </c>
      <c r="D94" s="100" t="s">
        <v>160</v>
      </c>
      <c r="E94" s="204">
        <f>Cronograma!AC95</f>
        <v>1</v>
      </c>
      <c r="F94" s="98" t="s">
        <v>10</v>
      </c>
      <c r="G94" s="96">
        <f>Composicoes!I824</f>
        <v>1478.74</v>
      </c>
      <c r="H94" s="21">
        <v>0.1538</v>
      </c>
      <c r="I94" s="119">
        <f>TRUNC(G94*(1+H94),2)</f>
        <v>1706.17</v>
      </c>
      <c r="J94" s="119">
        <f>Cronograma!AB95</f>
        <v>1706.17</v>
      </c>
    </row>
    <row r="95" spans="1:10" s="95" customFormat="1" ht="14.25">
      <c r="A95" s="110" t="s">
        <v>284</v>
      </c>
      <c r="B95" s="111"/>
      <c r="C95" s="112"/>
      <c r="D95" s="113" t="s">
        <v>311</v>
      </c>
      <c r="E95" s="216"/>
      <c r="F95" s="114"/>
      <c r="G95" s="115"/>
      <c r="H95" s="117"/>
      <c r="I95" s="142"/>
      <c r="J95" s="218"/>
    </row>
    <row r="96" spans="1:10" s="95" customFormat="1" ht="15">
      <c r="A96" s="19" t="s">
        <v>285</v>
      </c>
      <c r="B96" s="20" t="s">
        <v>68</v>
      </c>
      <c r="C96" s="192" t="s">
        <v>315</v>
      </c>
      <c r="D96" s="100" t="s">
        <v>327</v>
      </c>
      <c r="E96" s="203">
        <f>Cronograma!AC97</f>
        <v>18341.152000000002</v>
      </c>
      <c r="F96" s="98" t="s">
        <v>156</v>
      </c>
      <c r="G96" s="94">
        <f>Composicoes!I836</f>
        <v>3.67</v>
      </c>
      <c r="H96" s="21">
        <v>0.1538</v>
      </c>
      <c r="I96" s="119">
        <f>TRUNC(G96*(1+H96),2)</f>
        <v>4.23</v>
      </c>
      <c r="J96" s="119">
        <f>Cronograma!AB97</f>
        <v>77583.04</v>
      </c>
    </row>
    <row r="97" spans="1:10" s="95" customFormat="1" ht="14.25">
      <c r="A97" s="110" t="s">
        <v>309</v>
      </c>
      <c r="B97" s="111"/>
      <c r="C97" s="112"/>
      <c r="D97" s="113" t="s">
        <v>409</v>
      </c>
      <c r="E97" s="216"/>
      <c r="F97" s="114"/>
      <c r="G97" s="115"/>
      <c r="H97" s="117"/>
      <c r="I97" s="142"/>
      <c r="J97" s="218"/>
    </row>
    <row r="98" spans="1:10" s="95" customFormat="1" ht="15">
      <c r="A98" s="19" t="s">
        <v>310</v>
      </c>
      <c r="B98" s="20" t="s">
        <v>68</v>
      </c>
      <c r="C98" s="192" t="s">
        <v>307</v>
      </c>
      <c r="D98" s="100" t="s">
        <v>409</v>
      </c>
      <c r="E98" s="203">
        <f>Cronograma!AC99</f>
        <v>675.296</v>
      </c>
      <c r="F98" s="98" t="s">
        <v>156</v>
      </c>
      <c r="G98" s="94">
        <f>Composicoes!I847</f>
        <v>8.69</v>
      </c>
      <c r="H98" s="21">
        <v>0.1538</v>
      </c>
      <c r="I98" s="119">
        <f>TRUNC(G98*(1+H98),2)</f>
        <v>10.02</v>
      </c>
      <c r="J98" s="119">
        <f>Cronograma!AB99</f>
        <v>6766.45</v>
      </c>
    </row>
    <row r="99" spans="1:10" s="95" customFormat="1" ht="14.25">
      <c r="A99" s="110" t="s">
        <v>407</v>
      </c>
      <c r="B99" s="111"/>
      <c r="C99" s="112"/>
      <c r="D99" s="113" t="s">
        <v>288</v>
      </c>
      <c r="E99" s="216"/>
      <c r="F99" s="114"/>
      <c r="G99" s="115"/>
      <c r="H99" s="117"/>
      <c r="I99" s="142"/>
      <c r="J99" s="218"/>
    </row>
    <row r="100" spans="1:10" s="95" customFormat="1" ht="15">
      <c r="A100" s="19" t="s">
        <v>408</v>
      </c>
      <c r="B100" s="20" t="s">
        <v>68</v>
      </c>
      <c r="C100" s="66" t="s">
        <v>410</v>
      </c>
      <c r="D100" s="101" t="s">
        <v>287</v>
      </c>
      <c r="E100" s="203">
        <f>Cronograma!AC101</f>
        <v>11189.759999999998</v>
      </c>
      <c r="F100" s="98" t="s">
        <v>156</v>
      </c>
      <c r="G100" s="94">
        <f>Composicoes!I858</f>
        <v>7.83</v>
      </c>
      <c r="H100" s="21">
        <v>0.1538</v>
      </c>
      <c r="I100" s="119">
        <f>TRUNC(G100*(1+H100),2)</f>
        <v>9.03</v>
      </c>
      <c r="J100" s="119">
        <f>Cronograma!AB101</f>
        <v>101043.49</v>
      </c>
    </row>
    <row r="101" spans="1:10" s="12" customFormat="1" ht="15">
      <c r="A101" s="22"/>
      <c r="B101" s="23"/>
      <c r="C101" s="23"/>
      <c r="D101" s="73" t="s">
        <v>24</v>
      </c>
      <c r="E101" s="1"/>
      <c r="F101" s="24"/>
      <c r="G101" s="25"/>
      <c r="I101" s="26" t="s">
        <v>35</v>
      </c>
      <c r="J101" s="187">
        <f>SUM(J9:J100)</f>
        <v>1350742.5000000007</v>
      </c>
    </row>
    <row r="102" spans="1:10" s="73" customFormat="1" ht="14.25">
      <c r="A102" s="1"/>
      <c r="B102" s="1"/>
      <c r="C102" s="1"/>
      <c r="D102" s="130" t="s">
        <v>61</v>
      </c>
      <c r="E102" s="104"/>
      <c r="F102" s="102"/>
      <c r="G102" s="103"/>
      <c r="H102" s="102"/>
      <c r="I102" s="102"/>
      <c r="J102" s="2"/>
    </row>
    <row r="103" spans="1:10" s="73" customFormat="1" ht="14.25">
      <c r="A103" s="3"/>
      <c r="B103" s="3"/>
      <c r="C103" s="3"/>
      <c r="D103" s="131" t="s">
        <v>25</v>
      </c>
      <c r="E103" s="106"/>
      <c r="F103" s="105"/>
      <c r="G103" s="105"/>
      <c r="I103" s="4" t="s">
        <v>417</v>
      </c>
      <c r="J103" s="140"/>
    </row>
    <row r="104" spans="1:10" s="73" customFormat="1" ht="14.25">
      <c r="A104" s="3"/>
      <c r="B104" s="3"/>
      <c r="C104" s="3"/>
      <c r="D104" s="262" t="s">
        <v>420</v>
      </c>
      <c r="E104" s="106"/>
      <c r="I104" s="4" t="s">
        <v>26</v>
      </c>
      <c r="J104" s="2"/>
    </row>
    <row r="105" spans="1:10" s="73" customFormat="1" ht="14.25">
      <c r="A105" s="3"/>
      <c r="B105" s="3"/>
      <c r="C105" s="3"/>
      <c r="D105" s="263" t="s">
        <v>211</v>
      </c>
      <c r="E105" s="107"/>
      <c r="I105" s="4" t="s">
        <v>27</v>
      </c>
      <c r="J105" s="2"/>
    </row>
    <row r="106" spans="1:10" s="73" customFormat="1" ht="14.25">
      <c r="A106" s="3"/>
      <c r="B106" s="3"/>
      <c r="C106" s="3"/>
      <c r="D106" s="264" t="s">
        <v>422</v>
      </c>
      <c r="E106" s="107">
        <f>TRUNC(252.425/227.136-1,4)</f>
        <v>0.1113</v>
      </c>
      <c r="F106" s="105"/>
      <c r="G106" s="105"/>
      <c r="H106" s="108"/>
      <c r="I106" s="108"/>
      <c r="J106" s="2"/>
    </row>
    <row r="107" spans="1:10" s="73" customFormat="1" ht="14.25">
      <c r="A107" s="3"/>
      <c r="B107" s="3"/>
      <c r="C107" s="3"/>
      <c r="D107" s="264" t="s">
        <v>421</v>
      </c>
      <c r="E107" s="107">
        <f>TRUNC(252.425/242.103-1,4)</f>
        <v>0.0426</v>
      </c>
      <c r="J107" s="2"/>
    </row>
    <row r="108" spans="1:10" s="73" customFormat="1" ht="14.25">
      <c r="A108" s="3"/>
      <c r="B108" s="3"/>
      <c r="C108" s="3"/>
      <c r="D108" s="265" t="s">
        <v>423</v>
      </c>
      <c r="E108" s="178">
        <f>TRUNC(252.425/247.326-1,4)</f>
        <v>0.0206</v>
      </c>
      <c r="J108" s="2"/>
    </row>
    <row r="109" spans="1:10" s="73" customFormat="1" ht="14.25">
      <c r="A109" s="3"/>
      <c r="B109" s="3"/>
      <c r="C109" s="3"/>
      <c r="I109" s="4"/>
      <c r="J109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5"/>
  <sheetViews>
    <sheetView showGridLines="0" zoomScale="70" zoomScaleNormal="70" zoomScalePageLayoutView="0" workbookViewId="0" topLeftCell="A772">
      <selection activeCell="D797" sqref="D797"/>
    </sheetView>
  </sheetViews>
  <sheetFormatPr defaultColWidth="17.421875" defaultRowHeight="15"/>
  <cols>
    <col min="1" max="1" width="15.421875" style="0" bestFit="1" customWidth="1"/>
    <col min="2" max="2" width="62.7109375" style="0" customWidth="1"/>
    <col min="3" max="3" width="11.28125" style="0" customWidth="1"/>
    <col min="4" max="4" width="11.7109375" style="0" bestFit="1" customWidth="1"/>
    <col min="5" max="5" width="27.421875" style="0" customWidth="1"/>
    <col min="6" max="6" width="21.57421875" style="0" customWidth="1"/>
    <col min="7" max="7" width="25.7109375" style="0" customWidth="1"/>
    <col min="8" max="8" width="14.7109375" style="11" customWidth="1"/>
    <col min="9" max="9" width="20.7109375" style="0" bestFit="1" customWidth="1"/>
  </cols>
  <sheetData>
    <row r="1" spans="1:9" s="28" customFormat="1" ht="21" thickBot="1">
      <c r="A1" s="27"/>
      <c r="B1" s="27" t="s">
        <v>67</v>
      </c>
      <c r="C1" s="27"/>
      <c r="D1" s="27"/>
      <c r="E1" s="27"/>
      <c r="F1" s="27"/>
      <c r="G1" s="27"/>
      <c r="H1" s="27"/>
      <c r="I1" s="27"/>
    </row>
    <row r="2" spans="1:9" s="28" customFormat="1" ht="18.75">
      <c r="A2" s="29"/>
      <c r="B2" s="30" t="s">
        <v>212</v>
      </c>
      <c r="C2" s="30"/>
      <c r="D2" s="30"/>
      <c r="E2" s="30"/>
      <c r="F2" s="30"/>
      <c r="G2" s="30"/>
      <c r="H2" s="30"/>
      <c r="I2" s="31"/>
    </row>
    <row r="3" spans="1:9" s="28" customFormat="1" ht="15">
      <c r="A3" s="32"/>
      <c r="B3" s="207" t="s">
        <v>405</v>
      </c>
      <c r="C3" s="208"/>
      <c r="D3" s="208"/>
      <c r="E3" s="208"/>
      <c r="F3" s="208"/>
      <c r="G3" s="208"/>
      <c r="H3" s="208"/>
      <c r="I3" s="36"/>
    </row>
    <row r="4" spans="1:9" s="28" customFormat="1" ht="15">
      <c r="A4" s="32"/>
      <c r="B4" s="34" t="s">
        <v>105</v>
      </c>
      <c r="C4" s="35"/>
      <c r="D4" s="35"/>
      <c r="E4" s="35"/>
      <c r="F4" s="35"/>
      <c r="G4" s="35"/>
      <c r="H4" s="33"/>
      <c r="I4" s="36"/>
    </row>
    <row r="5" spans="1:9" s="28" customFormat="1" ht="14.25">
      <c r="A5" s="32"/>
      <c r="B5" s="33"/>
      <c r="C5" s="35"/>
      <c r="D5" s="35"/>
      <c r="E5" s="33"/>
      <c r="F5" s="35"/>
      <c r="G5" s="33"/>
      <c r="H5" s="35"/>
      <c r="I5" s="36"/>
    </row>
    <row r="6" spans="1:9" s="28" customFormat="1" ht="18">
      <c r="A6" s="44"/>
      <c r="B6" s="38" t="s">
        <v>28</v>
      </c>
      <c r="D6" s="37"/>
      <c r="E6" s="37"/>
      <c r="F6" s="37"/>
      <c r="G6" s="37"/>
      <c r="H6" s="37"/>
      <c r="I6" s="39"/>
    </row>
    <row r="7" spans="1:9" s="28" customFormat="1" ht="18.75" thickBot="1">
      <c r="A7" s="40"/>
      <c r="B7" s="41"/>
      <c r="C7" s="41"/>
      <c r="D7" s="42"/>
      <c r="E7" s="41"/>
      <c r="F7" s="42"/>
      <c r="G7" s="41"/>
      <c r="H7" s="42"/>
      <c r="I7" s="43"/>
    </row>
    <row r="8" spans="1:9" s="11" customFormat="1" ht="15">
      <c r="A8" s="46" t="s">
        <v>29</v>
      </c>
      <c r="B8" s="46" t="s">
        <v>30</v>
      </c>
      <c r="C8" s="47"/>
      <c r="D8" s="47"/>
      <c r="E8" s="47"/>
      <c r="F8" s="47"/>
      <c r="G8" s="48"/>
      <c r="H8" s="45" t="s">
        <v>70</v>
      </c>
      <c r="I8" s="45" t="s">
        <v>69</v>
      </c>
    </row>
    <row r="9" spans="1:9" s="11" customFormat="1" ht="15">
      <c r="A9" s="49" t="s">
        <v>8</v>
      </c>
      <c r="B9" s="120" t="s">
        <v>194</v>
      </c>
      <c r="C9" s="121"/>
      <c r="D9" s="121"/>
      <c r="E9" s="121"/>
      <c r="F9" s="121"/>
      <c r="G9" s="122"/>
      <c r="H9" s="123" t="s">
        <v>10</v>
      </c>
      <c r="I9" s="124">
        <f>TRUNC((SUM(I11:I14)),2)</f>
        <v>557.02</v>
      </c>
    </row>
    <row r="10" spans="1:9" s="11" customFormat="1" ht="15.75" customHeight="1">
      <c r="A10" s="51" t="s">
        <v>1</v>
      </c>
      <c r="B10" s="52" t="s">
        <v>2</v>
      </c>
      <c r="C10" s="52" t="s">
        <v>31</v>
      </c>
      <c r="D10" s="53" t="s">
        <v>32</v>
      </c>
      <c r="E10" s="54" t="s">
        <v>33</v>
      </c>
      <c r="F10" s="55" t="s">
        <v>4</v>
      </c>
      <c r="G10" s="56" t="s">
        <v>33</v>
      </c>
      <c r="H10" s="57"/>
      <c r="I10" s="53" t="s">
        <v>71</v>
      </c>
    </row>
    <row r="11" spans="1:9" s="179" customFormat="1" ht="28.5">
      <c r="A11" s="58" t="s">
        <v>7</v>
      </c>
      <c r="B11" s="59" t="s">
        <v>59</v>
      </c>
      <c r="C11" s="58" t="s">
        <v>79</v>
      </c>
      <c r="D11" s="70">
        <v>4</v>
      </c>
      <c r="E11" s="60"/>
      <c r="F11" s="86">
        <v>26.38</v>
      </c>
      <c r="G11" s="61" t="s">
        <v>64</v>
      </c>
      <c r="H11" s="62">
        <v>88322</v>
      </c>
      <c r="I11" s="83">
        <f>TRUNC(D11*F11,4)</f>
        <v>105.52</v>
      </c>
    </row>
    <row r="12" spans="1:9" s="179" customFormat="1" ht="15">
      <c r="A12" s="58" t="s">
        <v>9</v>
      </c>
      <c r="B12" s="59" t="s">
        <v>51</v>
      </c>
      <c r="C12" s="58" t="s">
        <v>79</v>
      </c>
      <c r="D12" s="70">
        <v>8</v>
      </c>
      <c r="E12" s="60"/>
      <c r="F12" s="86">
        <v>18.24</v>
      </c>
      <c r="G12" s="61" t="s">
        <v>64</v>
      </c>
      <c r="H12" s="62">
        <v>88316</v>
      </c>
      <c r="I12" s="83">
        <f>TRUNC(D12*F12,4)</f>
        <v>145.92</v>
      </c>
    </row>
    <row r="13" spans="1:9" s="179" customFormat="1" ht="15">
      <c r="A13" s="58">
        <v>2</v>
      </c>
      <c r="B13" s="59" t="s">
        <v>191</v>
      </c>
      <c r="C13" s="69" t="s">
        <v>81</v>
      </c>
      <c r="D13" s="70">
        <f>ROUND((D11)/176,4)</f>
        <v>0.0227</v>
      </c>
      <c r="E13" s="60"/>
      <c r="F13" s="83">
        <f>TRUNC(611.48*(1+Orcamento!$E$106),4)</f>
        <v>679.5377</v>
      </c>
      <c r="G13" s="77" t="s">
        <v>82</v>
      </c>
      <c r="H13" s="72" t="s">
        <v>192</v>
      </c>
      <c r="I13" s="83">
        <f>TRUNC(D13*F13,4)</f>
        <v>15.4255</v>
      </c>
    </row>
    <row r="14" spans="1:9" s="179" customFormat="1" ht="43.5">
      <c r="A14" s="58">
        <v>3</v>
      </c>
      <c r="B14" s="180" t="s">
        <v>93</v>
      </c>
      <c r="C14" s="58" t="s">
        <v>34</v>
      </c>
      <c r="D14" s="70">
        <f>D11</f>
        <v>4</v>
      </c>
      <c r="E14" s="60"/>
      <c r="F14" s="86">
        <v>72.54</v>
      </c>
      <c r="G14" s="81" t="s">
        <v>64</v>
      </c>
      <c r="H14" s="82">
        <v>92145</v>
      </c>
      <c r="I14" s="83">
        <f>TRUNC(D14*F14,4)</f>
        <v>290.16</v>
      </c>
    </row>
    <row r="15" spans="3:5" s="11" customFormat="1" ht="15">
      <c r="C15" s="7"/>
      <c r="D15" s="7"/>
      <c r="E15" s="7"/>
    </row>
    <row r="16" spans="3:5" s="11" customFormat="1" ht="15">
      <c r="C16" s="7"/>
      <c r="D16" s="7"/>
      <c r="E16" s="7"/>
    </row>
    <row r="17" spans="1:9" s="11" customFormat="1" ht="15">
      <c r="A17" s="46" t="s">
        <v>29</v>
      </c>
      <c r="B17" s="46" t="s">
        <v>30</v>
      </c>
      <c r="C17" s="47"/>
      <c r="D17" s="47"/>
      <c r="E17" s="47"/>
      <c r="F17" s="47"/>
      <c r="G17" s="48"/>
      <c r="H17" s="45" t="s">
        <v>70</v>
      </c>
      <c r="I17" s="45" t="s">
        <v>69</v>
      </c>
    </row>
    <row r="18" spans="1:9" s="11" customFormat="1" ht="15">
      <c r="A18" s="49" t="s">
        <v>12</v>
      </c>
      <c r="B18" s="120" t="s">
        <v>187</v>
      </c>
      <c r="C18" s="121"/>
      <c r="D18" s="121"/>
      <c r="E18" s="121"/>
      <c r="F18" s="121"/>
      <c r="G18" s="122"/>
      <c r="H18" s="123" t="s">
        <v>10</v>
      </c>
      <c r="I18" s="124">
        <f>TRUNC((SUM(I20:I23)),2)</f>
        <v>139.27</v>
      </c>
    </row>
    <row r="19" spans="1:9" s="11" customFormat="1" ht="15.75" customHeight="1">
      <c r="A19" s="51" t="s">
        <v>1</v>
      </c>
      <c r="B19" s="52" t="s">
        <v>2</v>
      </c>
      <c r="C19" s="52" t="s">
        <v>31</v>
      </c>
      <c r="D19" s="53" t="s">
        <v>32</v>
      </c>
      <c r="E19" s="54" t="s">
        <v>33</v>
      </c>
      <c r="F19" s="55" t="s">
        <v>4</v>
      </c>
      <c r="G19" s="56" t="s">
        <v>33</v>
      </c>
      <c r="H19" s="57"/>
      <c r="I19" s="53" t="s">
        <v>71</v>
      </c>
    </row>
    <row r="20" spans="1:9" s="179" customFormat="1" ht="28.5">
      <c r="A20" s="58" t="s">
        <v>7</v>
      </c>
      <c r="B20" s="59" t="s">
        <v>59</v>
      </c>
      <c r="C20" s="58" t="s">
        <v>79</v>
      </c>
      <c r="D20" s="70">
        <v>1</v>
      </c>
      <c r="E20" s="60"/>
      <c r="F20" s="86">
        <v>26.38</v>
      </c>
      <c r="G20" s="61" t="s">
        <v>64</v>
      </c>
      <c r="H20" s="62">
        <v>88322</v>
      </c>
      <c r="I20" s="83">
        <f>TRUNC(D20*F20,4)</f>
        <v>26.38</v>
      </c>
    </row>
    <row r="21" spans="1:9" s="179" customFormat="1" ht="15">
      <c r="A21" s="58" t="s">
        <v>9</v>
      </c>
      <c r="B21" s="59" t="s">
        <v>51</v>
      </c>
      <c r="C21" s="58" t="s">
        <v>79</v>
      </c>
      <c r="D21" s="70">
        <v>2</v>
      </c>
      <c r="E21" s="60"/>
      <c r="F21" s="86">
        <v>18.24</v>
      </c>
      <c r="G21" s="61" t="s">
        <v>64</v>
      </c>
      <c r="H21" s="62">
        <v>88316</v>
      </c>
      <c r="I21" s="83">
        <f>TRUNC(D21*F21,4)</f>
        <v>36.48</v>
      </c>
    </row>
    <row r="22" spans="1:9" s="179" customFormat="1" ht="15">
      <c r="A22" s="58">
        <v>2</v>
      </c>
      <c r="B22" s="59" t="s">
        <v>191</v>
      </c>
      <c r="C22" s="69" t="s">
        <v>81</v>
      </c>
      <c r="D22" s="70">
        <f>ROUND((D20)/176,4)</f>
        <v>0.0057</v>
      </c>
      <c r="E22" s="60"/>
      <c r="F22" s="83">
        <f>TRUNC(611.48*(1+Orcamento!$E$106),4)</f>
        <v>679.5377</v>
      </c>
      <c r="G22" s="77" t="s">
        <v>82</v>
      </c>
      <c r="H22" s="72" t="s">
        <v>192</v>
      </c>
      <c r="I22" s="83">
        <f>TRUNC(D22*F22,4)</f>
        <v>3.8733</v>
      </c>
    </row>
    <row r="23" spans="1:9" s="179" customFormat="1" ht="43.5">
      <c r="A23" s="58">
        <v>3</v>
      </c>
      <c r="B23" s="180" t="s">
        <v>93</v>
      </c>
      <c r="C23" s="58" t="s">
        <v>34</v>
      </c>
      <c r="D23" s="70">
        <f>D20</f>
        <v>1</v>
      </c>
      <c r="E23" s="60"/>
      <c r="F23" s="86">
        <v>72.54</v>
      </c>
      <c r="G23" s="81" t="s">
        <v>64</v>
      </c>
      <c r="H23" s="82">
        <v>92145</v>
      </c>
      <c r="I23" s="83">
        <f>TRUNC(D23*F23,4)</f>
        <v>72.54</v>
      </c>
    </row>
    <row r="24" spans="3:5" s="11" customFormat="1" ht="15">
      <c r="C24" s="7"/>
      <c r="D24" s="7"/>
      <c r="E24" s="7"/>
    </row>
    <row r="25" spans="3:5" s="11" customFormat="1" ht="15">
      <c r="C25" s="7"/>
      <c r="D25" s="7"/>
      <c r="E25" s="7"/>
    </row>
    <row r="26" spans="1:9" s="11" customFormat="1" ht="15">
      <c r="A26" s="46" t="s">
        <v>29</v>
      </c>
      <c r="B26" s="46" t="s">
        <v>30</v>
      </c>
      <c r="C26" s="47"/>
      <c r="D26" s="47"/>
      <c r="E26" s="47"/>
      <c r="F26" s="47"/>
      <c r="G26" s="48"/>
      <c r="H26" s="45" t="s">
        <v>70</v>
      </c>
      <c r="I26" s="45" t="s">
        <v>69</v>
      </c>
    </row>
    <row r="27" spans="1:9" s="11" customFormat="1" ht="15">
      <c r="A27" s="49" t="s">
        <v>14</v>
      </c>
      <c r="B27" s="120" t="s">
        <v>290</v>
      </c>
      <c r="C27" s="121"/>
      <c r="D27" s="121"/>
      <c r="E27" s="121"/>
      <c r="F27" s="121"/>
      <c r="G27" s="122"/>
      <c r="H27" s="123" t="s">
        <v>182</v>
      </c>
      <c r="I27" s="124">
        <f>TRUNC((SUM(I29:I40)),2)</f>
        <v>126.19</v>
      </c>
    </row>
    <row r="28" spans="1:9" s="11" customFormat="1" ht="15.75" customHeight="1">
      <c r="A28" s="51" t="s">
        <v>1</v>
      </c>
      <c r="B28" s="52" t="s">
        <v>2</v>
      </c>
      <c r="C28" s="52" t="s">
        <v>31</v>
      </c>
      <c r="D28" s="53" t="s">
        <v>32</v>
      </c>
      <c r="E28" s="54" t="s">
        <v>33</v>
      </c>
      <c r="F28" s="55" t="s">
        <v>4</v>
      </c>
      <c r="G28" s="56" t="s">
        <v>33</v>
      </c>
      <c r="H28" s="57"/>
      <c r="I28" s="53" t="s">
        <v>71</v>
      </c>
    </row>
    <row r="29" spans="1:9" s="181" customFormat="1" ht="28.5">
      <c r="A29" s="58">
        <v>1</v>
      </c>
      <c r="B29" s="59" t="s">
        <v>125</v>
      </c>
      <c r="C29" s="58" t="s">
        <v>79</v>
      </c>
      <c r="D29" s="70">
        <f>ROUND((D30)*0.05,4)</f>
        <v>0.04</v>
      </c>
      <c r="E29" s="97">
        <v>0.05</v>
      </c>
      <c r="F29" s="86">
        <v>147.75</v>
      </c>
      <c r="G29" s="61" t="s">
        <v>92</v>
      </c>
      <c r="H29" s="62">
        <v>90779</v>
      </c>
      <c r="I29" s="83">
        <f aca="true" t="shared" si="0" ref="I29:I40">TRUNC(D29*F29,4)</f>
        <v>5.91</v>
      </c>
    </row>
    <row r="30" spans="1:9" s="179" customFormat="1" ht="28.5">
      <c r="A30" s="58" t="s">
        <v>11</v>
      </c>
      <c r="B30" s="59" t="s">
        <v>59</v>
      </c>
      <c r="C30" s="58" t="s">
        <v>79</v>
      </c>
      <c r="D30" s="70">
        <v>0.8</v>
      </c>
      <c r="E30" s="60"/>
      <c r="F30" s="86">
        <v>26.38</v>
      </c>
      <c r="G30" s="61" t="s">
        <v>64</v>
      </c>
      <c r="H30" s="62">
        <v>88322</v>
      </c>
      <c r="I30" s="83">
        <f t="shared" si="0"/>
        <v>21.104</v>
      </c>
    </row>
    <row r="31" spans="1:9" s="179" customFormat="1" ht="15">
      <c r="A31" s="58" t="s">
        <v>13</v>
      </c>
      <c r="B31" s="59" t="s">
        <v>51</v>
      </c>
      <c r="C31" s="58" t="s">
        <v>79</v>
      </c>
      <c r="D31" s="70">
        <v>1.6</v>
      </c>
      <c r="E31" s="60"/>
      <c r="F31" s="86">
        <v>18.24</v>
      </c>
      <c r="G31" s="61" t="s">
        <v>64</v>
      </c>
      <c r="H31" s="62">
        <v>88316</v>
      </c>
      <c r="I31" s="83">
        <f t="shared" si="0"/>
        <v>29.184</v>
      </c>
    </row>
    <row r="32" spans="1:9" s="179" customFormat="1" ht="15">
      <c r="A32" s="58">
        <v>3</v>
      </c>
      <c r="B32" s="59" t="s">
        <v>191</v>
      </c>
      <c r="C32" s="69" t="s">
        <v>81</v>
      </c>
      <c r="D32" s="70">
        <f>ROUND((D30)/176,4)</f>
        <v>0.0045</v>
      </c>
      <c r="E32" s="60"/>
      <c r="F32" s="83">
        <f>TRUNC(611.48*(1+Orcamento!$E$106),4)</f>
        <v>679.5377</v>
      </c>
      <c r="G32" s="77" t="s">
        <v>82</v>
      </c>
      <c r="H32" s="72" t="s">
        <v>192</v>
      </c>
      <c r="I32" s="83">
        <f t="shared" si="0"/>
        <v>3.0579</v>
      </c>
    </row>
    <row r="33" spans="1:9" s="179" customFormat="1" ht="43.5">
      <c r="A33" s="58" t="s">
        <v>90</v>
      </c>
      <c r="B33" s="180" t="s">
        <v>93</v>
      </c>
      <c r="C33" s="58" t="s">
        <v>34</v>
      </c>
      <c r="D33" s="70">
        <f>ROUND(D30*0.2,4)</f>
        <v>0.16</v>
      </c>
      <c r="E33" s="60"/>
      <c r="F33" s="86">
        <v>72.54</v>
      </c>
      <c r="G33" s="81" t="s">
        <v>64</v>
      </c>
      <c r="H33" s="82">
        <v>92145</v>
      </c>
      <c r="I33" s="83">
        <f t="shared" si="0"/>
        <v>11.6064</v>
      </c>
    </row>
    <row r="34" spans="1:9" s="179" customFormat="1" ht="43.5">
      <c r="A34" s="58" t="s">
        <v>91</v>
      </c>
      <c r="B34" s="180" t="s">
        <v>94</v>
      </c>
      <c r="C34" s="58" t="s">
        <v>60</v>
      </c>
      <c r="D34" s="70">
        <f>ROUND(D33*4,4)</f>
        <v>0.64</v>
      </c>
      <c r="E34" s="60"/>
      <c r="F34" s="86">
        <v>26.15</v>
      </c>
      <c r="G34" s="81" t="s">
        <v>64</v>
      </c>
      <c r="H34" s="82">
        <v>92146</v>
      </c>
      <c r="I34" s="83">
        <f t="shared" si="0"/>
        <v>16.736</v>
      </c>
    </row>
    <row r="35" spans="1:9" s="11" customFormat="1" ht="28.5">
      <c r="A35" s="58">
        <v>5</v>
      </c>
      <c r="B35" s="59" t="s">
        <v>75</v>
      </c>
      <c r="C35" s="58" t="s">
        <v>79</v>
      </c>
      <c r="D35" s="70">
        <f>D30</f>
        <v>0.8</v>
      </c>
      <c r="E35" s="60"/>
      <c r="F35" s="86">
        <v>39.14</v>
      </c>
      <c r="G35" s="64" t="s">
        <v>64</v>
      </c>
      <c r="H35" s="65">
        <v>88597</v>
      </c>
      <c r="I35" s="83">
        <f t="shared" si="0"/>
        <v>31.312</v>
      </c>
    </row>
    <row r="36" spans="1:9" s="73" customFormat="1" ht="14.25">
      <c r="A36" s="58" t="s">
        <v>99</v>
      </c>
      <c r="B36" s="59" t="s">
        <v>80</v>
      </c>
      <c r="C36" s="69" t="s">
        <v>81</v>
      </c>
      <c r="D36" s="70">
        <f>ROUND((D35)/176,4)</f>
        <v>0.0045</v>
      </c>
      <c r="E36" s="60"/>
      <c r="F36" s="83">
        <f>TRUNC(171.37*(1+Orcamento!$E$106),4)</f>
        <v>190.4434</v>
      </c>
      <c r="G36" s="77" t="s">
        <v>82</v>
      </c>
      <c r="H36" s="72" t="s">
        <v>57</v>
      </c>
      <c r="I36" s="83">
        <f t="shared" si="0"/>
        <v>0.8569</v>
      </c>
    </row>
    <row r="37" spans="1:9" s="73" customFormat="1" ht="14.25">
      <c r="A37" s="58" t="s">
        <v>100</v>
      </c>
      <c r="B37" s="74" t="s">
        <v>83</v>
      </c>
      <c r="C37" s="75" t="s">
        <v>84</v>
      </c>
      <c r="D37" s="201">
        <f>ROUND((D35)/(176*12),4)</f>
        <v>0.0004</v>
      </c>
      <c r="E37" s="76"/>
      <c r="F37" s="83">
        <f>TRUNC(6461.72*(1+Orcamento!$E$107),4)</f>
        <v>6736.9892</v>
      </c>
      <c r="G37" s="71" t="s">
        <v>85</v>
      </c>
      <c r="H37" s="72" t="s">
        <v>86</v>
      </c>
      <c r="I37" s="83">
        <f t="shared" si="0"/>
        <v>2.6947</v>
      </c>
    </row>
    <row r="38" spans="1:9" s="11" customFormat="1" ht="15">
      <c r="A38" s="58">
        <v>7</v>
      </c>
      <c r="B38" s="59" t="s">
        <v>48</v>
      </c>
      <c r="C38" s="58" t="s">
        <v>95</v>
      </c>
      <c r="D38" s="70">
        <v>0.005</v>
      </c>
      <c r="E38" s="60"/>
      <c r="F38" s="86">
        <v>240.82</v>
      </c>
      <c r="G38" s="61" t="s">
        <v>77</v>
      </c>
      <c r="H38" s="62" t="s">
        <v>126</v>
      </c>
      <c r="I38" s="83">
        <f t="shared" si="0"/>
        <v>1.2041</v>
      </c>
    </row>
    <row r="39" spans="1:9" s="11" customFormat="1" ht="15">
      <c r="A39" s="58" t="s">
        <v>127</v>
      </c>
      <c r="B39" s="59" t="s">
        <v>36</v>
      </c>
      <c r="C39" s="58" t="s">
        <v>95</v>
      </c>
      <c r="D39" s="70">
        <f>ROUND(D35*1,4)</f>
        <v>0.8</v>
      </c>
      <c r="E39" s="60"/>
      <c r="F39" s="86">
        <f>TRUNC(0.35*(1+Orcamento!$E$106),4)</f>
        <v>0.3889</v>
      </c>
      <c r="G39" s="68" t="s">
        <v>82</v>
      </c>
      <c r="H39" s="62" t="s">
        <v>89</v>
      </c>
      <c r="I39" s="83">
        <f t="shared" si="0"/>
        <v>0.3111</v>
      </c>
    </row>
    <row r="40" spans="1:9" s="11" customFormat="1" ht="15">
      <c r="A40" s="58" t="s">
        <v>128</v>
      </c>
      <c r="B40" s="59" t="s">
        <v>37</v>
      </c>
      <c r="C40" s="58" t="s">
        <v>95</v>
      </c>
      <c r="D40" s="70">
        <f>ROUND(D39*0.5,4)</f>
        <v>0.4</v>
      </c>
      <c r="E40" s="60"/>
      <c r="F40" s="86">
        <f>TRUNC(5*(1+Orcamento!$E$106),4)</f>
        <v>5.5565</v>
      </c>
      <c r="G40" s="68" t="s">
        <v>82</v>
      </c>
      <c r="H40" s="62" t="s">
        <v>87</v>
      </c>
      <c r="I40" s="83">
        <f t="shared" si="0"/>
        <v>2.2226</v>
      </c>
    </row>
    <row r="41" spans="3:5" s="11" customFormat="1" ht="15">
      <c r="C41" s="7"/>
      <c r="D41" s="7"/>
      <c r="E41" s="7"/>
    </row>
    <row r="42" spans="3:5" s="11" customFormat="1" ht="15">
      <c r="C42" s="7"/>
      <c r="D42" s="7"/>
      <c r="E42" s="7"/>
    </row>
    <row r="43" spans="1:9" s="11" customFormat="1" ht="15">
      <c r="A43" s="46" t="s">
        <v>29</v>
      </c>
      <c r="B43" s="46" t="s">
        <v>30</v>
      </c>
      <c r="C43" s="47"/>
      <c r="D43" s="47"/>
      <c r="E43" s="47"/>
      <c r="F43" s="47"/>
      <c r="G43" s="48"/>
      <c r="H43" s="45" t="s">
        <v>70</v>
      </c>
      <c r="I43" s="45" t="s">
        <v>69</v>
      </c>
    </row>
    <row r="44" spans="1:9" s="11" customFormat="1" ht="15">
      <c r="A44" s="49" t="s">
        <v>330</v>
      </c>
      <c r="B44" s="120" t="s">
        <v>333</v>
      </c>
      <c r="C44" s="121"/>
      <c r="D44" s="121"/>
      <c r="E44" s="121"/>
      <c r="F44" s="121"/>
      <c r="G44" s="122"/>
      <c r="H44" s="123" t="s">
        <v>182</v>
      </c>
      <c r="I44" s="124">
        <f>TRUNC((SUM(I46:I57)),2)</f>
        <v>94.03</v>
      </c>
    </row>
    <row r="45" spans="1:9" s="11" customFormat="1" ht="15.75" customHeight="1">
      <c r="A45" s="51" t="s">
        <v>1</v>
      </c>
      <c r="B45" s="52" t="s">
        <v>2</v>
      </c>
      <c r="C45" s="52" t="s">
        <v>31</v>
      </c>
      <c r="D45" s="53" t="s">
        <v>32</v>
      </c>
      <c r="E45" s="54" t="s">
        <v>33</v>
      </c>
      <c r="F45" s="55" t="s">
        <v>4</v>
      </c>
      <c r="G45" s="56" t="s">
        <v>33</v>
      </c>
      <c r="H45" s="57"/>
      <c r="I45" s="53" t="s">
        <v>71</v>
      </c>
    </row>
    <row r="46" spans="1:9" s="181" customFormat="1" ht="28.5">
      <c r="A46" s="58">
        <v>1</v>
      </c>
      <c r="B46" s="59" t="s">
        <v>125</v>
      </c>
      <c r="C46" s="58" t="s">
        <v>79</v>
      </c>
      <c r="D46" s="70">
        <f>ROUND((D47)*0.05,4)</f>
        <v>0.03</v>
      </c>
      <c r="E46" s="97">
        <v>0.05</v>
      </c>
      <c r="F46" s="86">
        <v>147.75</v>
      </c>
      <c r="G46" s="61" t="s">
        <v>92</v>
      </c>
      <c r="H46" s="62">
        <v>90779</v>
      </c>
      <c r="I46" s="83">
        <f aca="true" t="shared" si="1" ref="I46:I57">TRUNC(D46*F46,4)</f>
        <v>4.4325</v>
      </c>
    </row>
    <row r="47" spans="1:9" s="179" customFormat="1" ht="28.5">
      <c r="A47" s="58" t="s">
        <v>11</v>
      </c>
      <c r="B47" s="59" t="s">
        <v>59</v>
      </c>
      <c r="C47" s="58" t="s">
        <v>79</v>
      </c>
      <c r="D47" s="70">
        <v>0.6</v>
      </c>
      <c r="E47" s="60"/>
      <c r="F47" s="86">
        <v>26.38</v>
      </c>
      <c r="G47" s="61" t="s">
        <v>64</v>
      </c>
      <c r="H47" s="62">
        <v>88322</v>
      </c>
      <c r="I47" s="83">
        <f t="shared" si="1"/>
        <v>15.828</v>
      </c>
    </row>
    <row r="48" spans="1:9" s="179" customFormat="1" ht="15">
      <c r="A48" s="58" t="s">
        <v>13</v>
      </c>
      <c r="B48" s="59" t="s">
        <v>51</v>
      </c>
      <c r="C48" s="58" t="s">
        <v>79</v>
      </c>
      <c r="D48" s="70">
        <v>1.2</v>
      </c>
      <c r="E48" s="60"/>
      <c r="F48" s="86">
        <v>18.24</v>
      </c>
      <c r="G48" s="61" t="s">
        <v>64</v>
      </c>
      <c r="H48" s="62">
        <v>88316</v>
      </c>
      <c r="I48" s="83">
        <f t="shared" si="1"/>
        <v>21.888</v>
      </c>
    </row>
    <row r="49" spans="1:9" s="179" customFormat="1" ht="15">
      <c r="A49" s="58">
        <v>3</v>
      </c>
      <c r="B49" s="59" t="s">
        <v>190</v>
      </c>
      <c r="C49" s="69" t="s">
        <v>81</v>
      </c>
      <c r="D49" s="70">
        <f>ROUND((D47)/176,4)</f>
        <v>0.0034</v>
      </c>
      <c r="E49" s="60"/>
      <c r="F49" s="83">
        <f>TRUNC(44.55*(1+Orcamento!$E$106),4)</f>
        <v>49.5084</v>
      </c>
      <c r="G49" s="77" t="s">
        <v>82</v>
      </c>
      <c r="H49" s="72" t="s">
        <v>193</v>
      </c>
      <c r="I49" s="83">
        <f t="shared" si="1"/>
        <v>0.1683</v>
      </c>
    </row>
    <row r="50" spans="1:9" s="179" customFormat="1" ht="43.5">
      <c r="A50" s="58" t="s">
        <v>90</v>
      </c>
      <c r="B50" s="180" t="s">
        <v>93</v>
      </c>
      <c r="C50" s="58" t="s">
        <v>34</v>
      </c>
      <c r="D50" s="70">
        <f>ROUND(D47*0.2,4)</f>
        <v>0.12</v>
      </c>
      <c r="E50" s="60"/>
      <c r="F50" s="86">
        <v>72.54</v>
      </c>
      <c r="G50" s="81" t="s">
        <v>64</v>
      </c>
      <c r="H50" s="82">
        <v>92145</v>
      </c>
      <c r="I50" s="83">
        <f t="shared" si="1"/>
        <v>8.7048</v>
      </c>
    </row>
    <row r="51" spans="1:9" s="179" customFormat="1" ht="43.5">
      <c r="A51" s="58" t="s">
        <v>91</v>
      </c>
      <c r="B51" s="180" t="s">
        <v>94</v>
      </c>
      <c r="C51" s="58" t="s">
        <v>60</v>
      </c>
      <c r="D51" s="70">
        <f>ROUND(D50*4,4)</f>
        <v>0.48</v>
      </c>
      <c r="E51" s="60"/>
      <c r="F51" s="86">
        <v>26.15</v>
      </c>
      <c r="G51" s="81" t="s">
        <v>64</v>
      </c>
      <c r="H51" s="82">
        <v>92146</v>
      </c>
      <c r="I51" s="83">
        <f t="shared" si="1"/>
        <v>12.552</v>
      </c>
    </row>
    <row r="52" spans="1:9" s="11" customFormat="1" ht="28.5">
      <c r="A52" s="58">
        <v>5</v>
      </c>
      <c r="B52" s="59" t="s">
        <v>75</v>
      </c>
      <c r="C52" s="58" t="s">
        <v>79</v>
      </c>
      <c r="D52" s="70">
        <f>D47</f>
        <v>0.6</v>
      </c>
      <c r="E52" s="60"/>
      <c r="F52" s="86">
        <v>39.14</v>
      </c>
      <c r="G52" s="64" t="s">
        <v>64</v>
      </c>
      <c r="H52" s="65">
        <v>88597</v>
      </c>
      <c r="I52" s="83">
        <f t="shared" si="1"/>
        <v>23.484</v>
      </c>
    </row>
    <row r="53" spans="1:9" s="73" customFormat="1" ht="14.25">
      <c r="A53" s="58" t="s">
        <v>99</v>
      </c>
      <c r="B53" s="59" t="s">
        <v>80</v>
      </c>
      <c r="C53" s="69" t="s">
        <v>81</v>
      </c>
      <c r="D53" s="70">
        <f>ROUND((D52)/176,4)</f>
        <v>0.0034</v>
      </c>
      <c r="E53" s="60"/>
      <c r="F53" s="83">
        <f>TRUNC(171.37*(1+Orcamento!$E$106),4)</f>
        <v>190.4434</v>
      </c>
      <c r="G53" s="77" t="s">
        <v>82</v>
      </c>
      <c r="H53" s="72" t="s">
        <v>57</v>
      </c>
      <c r="I53" s="83">
        <f t="shared" si="1"/>
        <v>0.6475</v>
      </c>
    </row>
    <row r="54" spans="1:9" s="73" customFormat="1" ht="14.25">
      <c r="A54" s="58" t="s">
        <v>100</v>
      </c>
      <c r="B54" s="74" t="s">
        <v>83</v>
      </c>
      <c r="C54" s="75" t="s">
        <v>84</v>
      </c>
      <c r="D54" s="201">
        <f>ROUND((D52)/(176*12),4)</f>
        <v>0.0003</v>
      </c>
      <c r="E54" s="76"/>
      <c r="F54" s="83">
        <f>TRUNC(6461.72*(1+Orcamento!$E$107),4)</f>
        <v>6736.9892</v>
      </c>
      <c r="G54" s="71" t="s">
        <v>85</v>
      </c>
      <c r="H54" s="72" t="s">
        <v>86</v>
      </c>
      <c r="I54" s="83">
        <f t="shared" si="1"/>
        <v>2.021</v>
      </c>
    </row>
    <row r="55" spans="1:9" s="11" customFormat="1" ht="15">
      <c r="A55" s="58">
        <v>7</v>
      </c>
      <c r="B55" s="59" t="s">
        <v>48</v>
      </c>
      <c r="C55" s="58" t="s">
        <v>95</v>
      </c>
      <c r="D55" s="70">
        <v>0.01</v>
      </c>
      <c r="E55" s="60"/>
      <c r="F55" s="86">
        <v>240.82</v>
      </c>
      <c r="G55" s="61" t="s">
        <v>77</v>
      </c>
      <c r="H55" s="62" t="s">
        <v>126</v>
      </c>
      <c r="I55" s="83">
        <f t="shared" si="1"/>
        <v>2.4082</v>
      </c>
    </row>
    <row r="56" spans="1:9" s="11" customFormat="1" ht="15">
      <c r="A56" s="58" t="s">
        <v>127</v>
      </c>
      <c r="B56" s="59" t="s">
        <v>36</v>
      </c>
      <c r="C56" s="58" t="s">
        <v>95</v>
      </c>
      <c r="D56" s="70">
        <f>ROUND(D52*1,4)</f>
        <v>0.6</v>
      </c>
      <c r="E56" s="60"/>
      <c r="F56" s="86">
        <f>TRUNC(0.35*(1+Orcamento!$E$106),4)</f>
        <v>0.3889</v>
      </c>
      <c r="G56" s="68" t="s">
        <v>82</v>
      </c>
      <c r="H56" s="62" t="s">
        <v>89</v>
      </c>
      <c r="I56" s="83">
        <f t="shared" si="1"/>
        <v>0.2333</v>
      </c>
    </row>
    <row r="57" spans="1:9" s="11" customFormat="1" ht="15">
      <c r="A57" s="58" t="s">
        <v>128</v>
      </c>
      <c r="B57" s="59" t="s">
        <v>37</v>
      </c>
      <c r="C57" s="58" t="s">
        <v>95</v>
      </c>
      <c r="D57" s="70">
        <f>ROUND(D56*0.5,4)</f>
        <v>0.3</v>
      </c>
      <c r="E57" s="60"/>
      <c r="F57" s="86">
        <f>TRUNC(5*(1+Orcamento!$E$106),4)</f>
        <v>5.5565</v>
      </c>
      <c r="G57" s="68" t="s">
        <v>82</v>
      </c>
      <c r="H57" s="62" t="s">
        <v>87</v>
      </c>
      <c r="I57" s="83">
        <f t="shared" si="1"/>
        <v>1.6669</v>
      </c>
    </row>
    <row r="58" spans="3:5" s="11" customFormat="1" ht="15">
      <c r="C58" s="7"/>
      <c r="D58" s="7"/>
      <c r="E58" s="7"/>
    </row>
    <row r="59" spans="3:5" s="11" customFormat="1" ht="15">
      <c r="C59" s="7"/>
      <c r="D59" s="7"/>
      <c r="E59" s="7"/>
    </row>
    <row r="60" spans="1:9" s="11" customFormat="1" ht="15">
      <c r="A60" s="46" t="s">
        <v>29</v>
      </c>
      <c r="B60" s="46" t="s">
        <v>30</v>
      </c>
      <c r="C60" s="47"/>
      <c r="D60" s="47"/>
      <c r="E60" s="47"/>
      <c r="F60" s="47"/>
      <c r="G60" s="48"/>
      <c r="H60" s="45" t="s">
        <v>70</v>
      </c>
      <c r="I60" s="45" t="s">
        <v>69</v>
      </c>
    </row>
    <row r="61" spans="1:9" s="11" customFormat="1" ht="15">
      <c r="A61" s="49" t="s">
        <v>331</v>
      </c>
      <c r="B61" s="120" t="s">
        <v>334</v>
      </c>
      <c r="C61" s="121"/>
      <c r="D61" s="121"/>
      <c r="E61" s="121"/>
      <c r="F61" s="121"/>
      <c r="G61" s="122"/>
      <c r="H61" s="123" t="s">
        <v>182</v>
      </c>
      <c r="I61" s="124">
        <f>TRUNC((SUM(I63:I77)),2)</f>
        <v>643.57</v>
      </c>
    </row>
    <row r="62" spans="1:9" s="11" customFormat="1" ht="15.75" customHeight="1">
      <c r="A62" s="51" t="s">
        <v>1</v>
      </c>
      <c r="B62" s="52" t="s">
        <v>2</v>
      </c>
      <c r="C62" s="52" t="s">
        <v>31</v>
      </c>
      <c r="D62" s="53" t="s">
        <v>32</v>
      </c>
      <c r="E62" s="54" t="s">
        <v>33</v>
      </c>
      <c r="F62" s="55" t="s">
        <v>4</v>
      </c>
      <c r="G62" s="56" t="s">
        <v>33</v>
      </c>
      <c r="H62" s="57"/>
      <c r="I62" s="53" t="s">
        <v>71</v>
      </c>
    </row>
    <row r="63" spans="1:9" s="181" customFormat="1" ht="28.5">
      <c r="A63" s="58">
        <v>1</v>
      </c>
      <c r="B63" s="59" t="s">
        <v>125</v>
      </c>
      <c r="C63" s="58" t="s">
        <v>79</v>
      </c>
      <c r="D63" s="70">
        <f>ROUND((D64)*0.05,4)</f>
        <v>0.03</v>
      </c>
      <c r="E63" s="97">
        <v>0.05</v>
      </c>
      <c r="F63" s="86">
        <v>147.75</v>
      </c>
      <c r="G63" s="61" t="s">
        <v>92</v>
      </c>
      <c r="H63" s="62">
        <v>90779</v>
      </c>
      <c r="I63" s="83">
        <f aca="true" t="shared" si="2" ref="I63:I77">TRUNC(D63*F63,4)</f>
        <v>4.4325</v>
      </c>
    </row>
    <row r="64" spans="1:9" s="179" customFormat="1" ht="28.5">
      <c r="A64" s="58" t="s">
        <v>11</v>
      </c>
      <c r="B64" s="59" t="s">
        <v>59</v>
      </c>
      <c r="C64" s="58" t="s">
        <v>79</v>
      </c>
      <c r="D64" s="70">
        <v>0.6</v>
      </c>
      <c r="E64" s="60"/>
      <c r="F64" s="86">
        <v>26.38</v>
      </c>
      <c r="G64" s="61" t="s">
        <v>64</v>
      </c>
      <c r="H64" s="62">
        <v>88322</v>
      </c>
      <c r="I64" s="83">
        <f t="shared" si="2"/>
        <v>15.828</v>
      </c>
    </row>
    <row r="65" spans="1:9" s="179" customFormat="1" ht="15">
      <c r="A65" s="58" t="s">
        <v>13</v>
      </c>
      <c r="B65" s="59" t="s">
        <v>51</v>
      </c>
      <c r="C65" s="58" t="s">
        <v>79</v>
      </c>
      <c r="D65" s="70">
        <v>1.2</v>
      </c>
      <c r="E65" s="60"/>
      <c r="F65" s="86">
        <v>18.24</v>
      </c>
      <c r="G65" s="61" t="s">
        <v>64</v>
      </c>
      <c r="H65" s="62">
        <v>88316</v>
      </c>
      <c r="I65" s="83">
        <f t="shared" si="2"/>
        <v>21.888</v>
      </c>
    </row>
    <row r="66" spans="1:9" s="179" customFormat="1" ht="15">
      <c r="A66" s="58">
        <v>3</v>
      </c>
      <c r="B66" s="59" t="s">
        <v>190</v>
      </c>
      <c r="C66" s="69" t="s">
        <v>81</v>
      </c>
      <c r="D66" s="70">
        <f>ROUND((D64)/176,4)</f>
        <v>0.0034</v>
      </c>
      <c r="E66" s="60"/>
      <c r="F66" s="83">
        <f>TRUNC(44.55*(1+Orcamento!$E$106),4)</f>
        <v>49.5084</v>
      </c>
      <c r="G66" s="77" t="s">
        <v>82</v>
      </c>
      <c r="H66" s="72" t="s">
        <v>193</v>
      </c>
      <c r="I66" s="83">
        <f t="shared" si="2"/>
        <v>0.1683</v>
      </c>
    </row>
    <row r="67" spans="1:9" s="179" customFormat="1" ht="43.5">
      <c r="A67" s="58" t="s">
        <v>90</v>
      </c>
      <c r="B67" s="180" t="s">
        <v>93</v>
      </c>
      <c r="C67" s="58" t="s">
        <v>34</v>
      </c>
      <c r="D67" s="70">
        <f>ROUND(D64*0.2,4)</f>
        <v>0.12</v>
      </c>
      <c r="E67" s="60"/>
      <c r="F67" s="86">
        <v>72.54</v>
      </c>
      <c r="G67" s="81" t="s">
        <v>64</v>
      </c>
      <c r="H67" s="82">
        <v>92145</v>
      </c>
      <c r="I67" s="83">
        <f t="shared" si="2"/>
        <v>8.7048</v>
      </c>
    </row>
    <row r="68" spans="1:9" s="179" customFormat="1" ht="43.5">
      <c r="A68" s="58" t="s">
        <v>91</v>
      </c>
      <c r="B68" s="180" t="s">
        <v>94</v>
      </c>
      <c r="C68" s="58" t="s">
        <v>60</v>
      </c>
      <c r="D68" s="70">
        <f>ROUND(D67*4,4)</f>
        <v>0.48</v>
      </c>
      <c r="E68" s="60"/>
      <c r="F68" s="86">
        <v>26.15</v>
      </c>
      <c r="G68" s="81" t="s">
        <v>64</v>
      </c>
      <c r="H68" s="82">
        <v>92146</v>
      </c>
      <c r="I68" s="83">
        <f t="shared" si="2"/>
        <v>12.552</v>
      </c>
    </row>
    <row r="69" spans="1:9" s="11" customFormat="1" ht="28.5">
      <c r="A69" s="58">
        <v>5</v>
      </c>
      <c r="B69" s="59" t="s">
        <v>75</v>
      </c>
      <c r="C69" s="58" t="s">
        <v>79</v>
      </c>
      <c r="D69" s="70">
        <f>D64</f>
        <v>0.6</v>
      </c>
      <c r="E69" s="60"/>
      <c r="F69" s="86">
        <v>39.14</v>
      </c>
      <c r="G69" s="64" t="s">
        <v>64</v>
      </c>
      <c r="H69" s="65">
        <v>88597</v>
      </c>
      <c r="I69" s="83">
        <f t="shared" si="2"/>
        <v>23.484</v>
      </c>
    </row>
    <row r="70" spans="1:9" s="179" customFormat="1" ht="15">
      <c r="A70" s="58">
        <v>6</v>
      </c>
      <c r="B70" s="59" t="s">
        <v>337</v>
      </c>
      <c r="C70" s="69"/>
      <c r="D70" s="70"/>
      <c r="E70" s="60"/>
      <c r="F70" s="83"/>
      <c r="G70" s="77"/>
      <c r="H70" s="72"/>
      <c r="I70" s="83"/>
    </row>
    <row r="71" spans="1:9" s="179" customFormat="1" ht="29.25">
      <c r="A71" s="58" t="s">
        <v>99</v>
      </c>
      <c r="B71" s="180" t="s">
        <v>137</v>
      </c>
      <c r="C71" s="58" t="s">
        <v>79</v>
      </c>
      <c r="D71" s="70">
        <f>D72*2</f>
        <v>12</v>
      </c>
      <c r="E71" s="60"/>
      <c r="F71" s="86">
        <v>30.51</v>
      </c>
      <c r="G71" s="81" t="s">
        <v>64</v>
      </c>
      <c r="H71" s="82">
        <v>88249</v>
      </c>
      <c r="I71" s="83">
        <f>TRUNC(D71*F71,4)</f>
        <v>366.12</v>
      </c>
    </row>
    <row r="72" spans="1:9" s="179" customFormat="1" ht="29.25">
      <c r="A72" s="58" t="s">
        <v>100</v>
      </c>
      <c r="B72" s="180" t="s">
        <v>138</v>
      </c>
      <c r="C72" s="58" t="s">
        <v>79</v>
      </c>
      <c r="D72" s="70">
        <v>6</v>
      </c>
      <c r="E72" s="60"/>
      <c r="F72" s="86">
        <v>30.57</v>
      </c>
      <c r="G72" s="81" t="s">
        <v>64</v>
      </c>
      <c r="H72" s="82">
        <v>88321</v>
      </c>
      <c r="I72" s="83">
        <f>TRUNC(D72*F72,4)</f>
        <v>183.42</v>
      </c>
    </row>
    <row r="73" spans="1:9" s="73" customFormat="1" ht="14.25">
      <c r="A73" s="58" t="s">
        <v>230</v>
      </c>
      <c r="B73" s="59" t="s">
        <v>80</v>
      </c>
      <c r="C73" s="69" t="s">
        <v>81</v>
      </c>
      <c r="D73" s="70">
        <f>ROUND((D69)/176,4)</f>
        <v>0.0034</v>
      </c>
      <c r="E73" s="60"/>
      <c r="F73" s="83">
        <f>TRUNC(171.37*(1+Orcamento!$E$106),4)</f>
        <v>190.4434</v>
      </c>
      <c r="G73" s="77" t="s">
        <v>82</v>
      </c>
      <c r="H73" s="72" t="s">
        <v>57</v>
      </c>
      <c r="I73" s="83">
        <f t="shared" si="2"/>
        <v>0.6475</v>
      </c>
    </row>
    <row r="74" spans="1:9" s="73" customFormat="1" ht="14.25">
      <c r="A74" s="58" t="s">
        <v>231</v>
      </c>
      <c r="B74" s="74" t="s">
        <v>83</v>
      </c>
      <c r="C74" s="75" t="s">
        <v>84</v>
      </c>
      <c r="D74" s="201">
        <f>ROUND((D69)/(176*12),4)</f>
        <v>0.0003</v>
      </c>
      <c r="E74" s="76"/>
      <c r="F74" s="83">
        <f>TRUNC(6461.72*(1+Orcamento!$E$107),4)</f>
        <v>6736.9892</v>
      </c>
      <c r="G74" s="71" t="s">
        <v>85</v>
      </c>
      <c r="H74" s="72" t="s">
        <v>86</v>
      </c>
      <c r="I74" s="83">
        <f t="shared" si="2"/>
        <v>2.021</v>
      </c>
    </row>
    <row r="75" spans="1:9" s="11" customFormat="1" ht="15">
      <c r="A75" s="58">
        <v>8</v>
      </c>
      <c r="B75" s="59" t="s">
        <v>48</v>
      </c>
      <c r="C75" s="58" t="s">
        <v>95</v>
      </c>
      <c r="D75" s="70">
        <v>0.01</v>
      </c>
      <c r="E75" s="60"/>
      <c r="F75" s="86">
        <v>240.82</v>
      </c>
      <c r="G75" s="61" t="s">
        <v>77</v>
      </c>
      <c r="H75" s="62" t="s">
        <v>126</v>
      </c>
      <c r="I75" s="83">
        <f t="shared" si="2"/>
        <v>2.4082</v>
      </c>
    </row>
    <row r="76" spans="1:9" s="11" customFormat="1" ht="15">
      <c r="A76" s="58" t="s">
        <v>335</v>
      </c>
      <c r="B76" s="59" t="s">
        <v>36</v>
      </c>
      <c r="C76" s="58" t="s">
        <v>95</v>
      </c>
      <c r="D76" s="70">
        <f>ROUND(D69*1,4)</f>
        <v>0.6</v>
      </c>
      <c r="E76" s="60"/>
      <c r="F76" s="86">
        <f>TRUNC(0.35*(1+Orcamento!$E$106),4)</f>
        <v>0.3889</v>
      </c>
      <c r="G76" s="68" t="s">
        <v>82</v>
      </c>
      <c r="H76" s="62" t="s">
        <v>89</v>
      </c>
      <c r="I76" s="83">
        <f t="shared" si="2"/>
        <v>0.2333</v>
      </c>
    </row>
    <row r="77" spans="1:9" s="11" customFormat="1" ht="15">
      <c r="A77" s="58" t="s">
        <v>336</v>
      </c>
      <c r="B77" s="59" t="s">
        <v>37</v>
      </c>
      <c r="C77" s="58" t="s">
        <v>95</v>
      </c>
      <c r="D77" s="70">
        <f>ROUND(D76*0.5,4)</f>
        <v>0.3</v>
      </c>
      <c r="E77" s="60"/>
      <c r="F77" s="86">
        <f>TRUNC(5*(1+Orcamento!$E$106),4)</f>
        <v>5.5565</v>
      </c>
      <c r="G77" s="68" t="s">
        <v>82</v>
      </c>
      <c r="H77" s="62" t="s">
        <v>87</v>
      </c>
      <c r="I77" s="83">
        <f t="shared" si="2"/>
        <v>1.6669</v>
      </c>
    </row>
    <row r="78" spans="3:5" s="11" customFormat="1" ht="15">
      <c r="C78" s="7"/>
      <c r="D78" s="7"/>
      <c r="E78" s="7"/>
    </row>
    <row r="79" spans="3:5" s="11" customFormat="1" ht="15">
      <c r="C79" s="7"/>
      <c r="D79" s="7"/>
      <c r="E79" s="7"/>
    </row>
    <row r="80" spans="1:9" s="11" customFormat="1" ht="15">
      <c r="A80" s="46" t="s">
        <v>29</v>
      </c>
      <c r="B80" s="46" t="s">
        <v>30</v>
      </c>
      <c r="C80" s="47"/>
      <c r="D80" s="47"/>
      <c r="E80" s="47"/>
      <c r="F80" s="47"/>
      <c r="G80" s="48"/>
      <c r="H80" s="45" t="s">
        <v>70</v>
      </c>
      <c r="I80" s="45" t="s">
        <v>69</v>
      </c>
    </row>
    <row r="81" spans="1:9" s="11" customFormat="1" ht="15">
      <c r="A81" s="49" t="s">
        <v>15</v>
      </c>
      <c r="B81" s="120" t="s">
        <v>96</v>
      </c>
      <c r="C81" s="121"/>
      <c r="D81" s="121"/>
      <c r="E81" s="121"/>
      <c r="F81" s="121"/>
      <c r="G81" s="122"/>
      <c r="H81" s="123" t="s">
        <v>10</v>
      </c>
      <c r="I81" s="124">
        <f>TRUNC((SUM(I83:I93)),2)</f>
        <v>1236.77</v>
      </c>
    </row>
    <row r="82" spans="1:9" s="11" customFormat="1" ht="15.75" customHeight="1">
      <c r="A82" s="51" t="s">
        <v>1</v>
      </c>
      <c r="B82" s="52" t="s">
        <v>2</v>
      </c>
      <c r="C82" s="52" t="s">
        <v>31</v>
      </c>
      <c r="D82" s="53" t="s">
        <v>32</v>
      </c>
      <c r="E82" s="54" t="s">
        <v>33</v>
      </c>
      <c r="F82" s="55" t="s">
        <v>4</v>
      </c>
      <c r="G82" s="56" t="s">
        <v>33</v>
      </c>
      <c r="H82" s="57"/>
      <c r="I82" s="53" t="s">
        <v>71</v>
      </c>
    </row>
    <row r="83" spans="1:9" s="181" customFormat="1" ht="28.5">
      <c r="A83" s="58" t="s">
        <v>7</v>
      </c>
      <c r="B83" s="59" t="s">
        <v>125</v>
      </c>
      <c r="C83" s="58" t="s">
        <v>79</v>
      </c>
      <c r="D83" s="70">
        <f>ROUND((D84)*0.05,4)</f>
        <v>0.4</v>
      </c>
      <c r="E83" s="97">
        <v>0.05</v>
      </c>
      <c r="F83" s="86">
        <v>147.75</v>
      </c>
      <c r="G83" s="61" t="s">
        <v>92</v>
      </c>
      <c r="H83" s="62">
        <v>90779</v>
      </c>
      <c r="I83" s="83">
        <f aca="true" t="shared" si="3" ref="I83:I93">TRUNC(D83*F83,4)</f>
        <v>59.1</v>
      </c>
    </row>
    <row r="84" spans="1:9" s="181" customFormat="1" ht="28.5">
      <c r="A84" s="58" t="s">
        <v>9</v>
      </c>
      <c r="B84" s="59" t="s">
        <v>59</v>
      </c>
      <c r="C84" s="58" t="s">
        <v>79</v>
      </c>
      <c r="D84" s="70">
        <f>8*1</f>
        <v>8</v>
      </c>
      <c r="E84" s="60" t="s">
        <v>132</v>
      </c>
      <c r="F84" s="86">
        <v>26.38</v>
      </c>
      <c r="G84" s="61" t="s">
        <v>64</v>
      </c>
      <c r="H84" s="62">
        <v>88322</v>
      </c>
      <c r="I84" s="83">
        <f t="shared" si="3"/>
        <v>211.04</v>
      </c>
    </row>
    <row r="85" spans="1:9" s="181" customFormat="1" ht="15">
      <c r="A85" s="58" t="s">
        <v>46</v>
      </c>
      <c r="B85" s="59" t="s">
        <v>51</v>
      </c>
      <c r="C85" s="58" t="s">
        <v>79</v>
      </c>
      <c r="D85" s="70">
        <f>8*1*2</f>
        <v>16</v>
      </c>
      <c r="E85" s="60" t="s">
        <v>133</v>
      </c>
      <c r="F85" s="86">
        <v>18.24</v>
      </c>
      <c r="G85" s="61" t="s">
        <v>64</v>
      </c>
      <c r="H85" s="62">
        <v>88316</v>
      </c>
      <c r="I85" s="83">
        <f t="shared" si="3"/>
        <v>291.84</v>
      </c>
    </row>
    <row r="86" spans="1:9" s="12" customFormat="1" ht="42.75">
      <c r="A86" s="58" t="s">
        <v>11</v>
      </c>
      <c r="B86" s="180" t="s">
        <v>93</v>
      </c>
      <c r="C86" s="58" t="s">
        <v>34</v>
      </c>
      <c r="D86" s="70">
        <f>2*1</f>
        <v>2</v>
      </c>
      <c r="E86" s="60" t="s">
        <v>131</v>
      </c>
      <c r="F86" s="86">
        <v>72.54</v>
      </c>
      <c r="G86" s="81" t="s">
        <v>64</v>
      </c>
      <c r="H86" s="82">
        <v>92145</v>
      </c>
      <c r="I86" s="83">
        <f t="shared" si="3"/>
        <v>145.08</v>
      </c>
    </row>
    <row r="87" spans="1:9" s="12" customFormat="1" ht="42.75">
      <c r="A87" s="58" t="s">
        <v>13</v>
      </c>
      <c r="B87" s="180" t="s">
        <v>94</v>
      </c>
      <c r="C87" s="58" t="s">
        <v>60</v>
      </c>
      <c r="D87" s="70">
        <f>6*1</f>
        <v>6</v>
      </c>
      <c r="E87" s="60" t="s">
        <v>134</v>
      </c>
      <c r="F87" s="86">
        <v>26.15</v>
      </c>
      <c r="G87" s="81" t="s">
        <v>64</v>
      </c>
      <c r="H87" s="82">
        <v>92146</v>
      </c>
      <c r="I87" s="83">
        <f t="shared" si="3"/>
        <v>156.9</v>
      </c>
    </row>
    <row r="88" spans="1:9" s="11" customFormat="1" ht="28.5">
      <c r="A88" s="58">
        <v>3</v>
      </c>
      <c r="B88" s="59" t="s">
        <v>75</v>
      </c>
      <c r="C88" s="58" t="s">
        <v>79</v>
      </c>
      <c r="D88" s="70">
        <f>D84</f>
        <v>8</v>
      </c>
      <c r="E88" s="60"/>
      <c r="F88" s="86">
        <v>39.14</v>
      </c>
      <c r="G88" s="64" t="s">
        <v>64</v>
      </c>
      <c r="H88" s="65">
        <v>88597</v>
      </c>
      <c r="I88" s="83">
        <f t="shared" si="3"/>
        <v>313.12</v>
      </c>
    </row>
    <row r="89" spans="1:9" s="73" customFormat="1" ht="14.25">
      <c r="A89" s="58" t="s">
        <v>90</v>
      </c>
      <c r="B89" s="59" t="s">
        <v>80</v>
      </c>
      <c r="C89" s="69" t="s">
        <v>81</v>
      </c>
      <c r="D89" s="70">
        <f>ROUND((D88)/176,4)</f>
        <v>0.0455</v>
      </c>
      <c r="E89" s="60"/>
      <c r="F89" s="83">
        <f>TRUNC(171.37*(1+Orcamento!$E$106),4)</f>
        <v>190.4434</v>
      </c>
      <c r="G89" s="77" t="s">
        <v>82</v>
      </c>
      <c r="H89" s="72" t="s">
        <v>57</v>
      </c>
      <c r="I89" s="83">
        <f t="shared" si="3"/>
        <v>8.6651</v>
      </c>
    </row>
    <row r="90" spans="1:9" s="73" customFormat="1" ht="14.25">
      <c r="A90" s="58" t="s">
        <v>91</v>
      </c>
      <c r="B90" s="74" t="s">
        <v>83</v>
      </c>
      <c r="C90" s="75" t="s">
        <v>84</v>
      </c>
      <c r="D90" s="201">
        <f>ROUND((D88)/(176*12),4)</f>
        <v>0.0038</v>
      </c>
      <c r="E90" s="76"/>
      <c r="F90" s="83">
        <f>TRUNC(6461.72*(1+Orcamento!$E$107),4)</f>
        <v>6736.9892</v>
      </c>
      <c r="G90" s="71" t="s">
        <v>85</v>
      </c>
      <c r="H90" s="72" t="s">
        <v>86</v>
      </c>
      <c r="I90" s="83">
        <f t="shared" si="3"/>
        <v>25.6005</v>
      </c>
    </row>
    <row r="91" spans="1:9" s="11" customFormat="1" ht="15">
      <c r="A91" s="58">
        <v>5</v>
      </c>
      <c r="B91" s="59" t="s">
        <v>48</v>
      </c>
      <c r="C91" s="58" t="s">
        <v>95</v>
      </c>
      <c r="D91" s="70">
        <v>0.0004</v>
      </c>
      <c r="E91" s="60"/>
      <c r="F91" s="86">
        <v>240.82</v>
      </c>
      <c r="G91" s="61" t="s">
        <v>77</v>
      </c>
      <c r="H91" s="62" t="s">
        <v>126</v>
      </c>
      <c r="I91" s="83">
        <f t="shared" si="3"/>
        <v>0.0963</v>
      </c>
    </row>
    <row r="92" spans="1:9" s="11" customFormat="1" ht="15">
      <c r="A92" s="58" t="s">
        <v>99</v>
      </c>
      <c r="B92" s="59" t="s">
        <v>36</v>
      </c>
      <c r="C92" s="58" t="s">
        <v>95</v>
      </c>
      <c r="D92" s="70">
        <f>ROUND(D88*1,4)</f>
        <v>8</v>
      </c>
      <c r="E92" s="60"/>
      <c r="F92" s="86">
        <f>TRUNC(0.35*(1+Orcamento!$E$106),4)</f>
        <v>0.3889</v>
      </c>
      <c r="G92" s="68" t="s">
        <v>82</v>
      </c>
      <c r="H92" s="62" t="s">
        <v>89</v>
      </c>
      <c r="I92" s="83">
        <f t="shared" si="3"/>
        <v>3.1112</v>
      </c>
    </row>
    <row r="93" spans="1:9" s="11" customFormat="1" ht="15">
      <c r="A93" s="58" t="s">
        <v>100</v>
      </c>
      <c r="B93" s="59" t="s">
        <v>37</v>
      </c>
      <c r="C93" s="58" t="s">
        <v>95</v>
      </c>
      <c r="D93" s="70">
        <f>ROUND(D92*0.5,4)</f>
        <v>4</v>
      </c>
      <c r="E93" s="60"/>
      <c r="F93" s="86">
        <f>TRUNC(5*(1+Orcamento!$E$106),4)</f>
        <v>5.5565</v>
      </c>
      <c r="G93" s="68" t="s">
        <v>82</v>
      </c>
      <c r="H93" s="62" t="s">
        <v>87</v>
      </c>
      <c r="I93" s="83">
        <f t="shared" si="3"/>
        <v>22.226</v>
      </c>
    </row>
    <row r="94" spans="1:9" s="11" customFormat="1" ht="15">
      <c r="A94" s="8"/>
      <c r="B94" s="8"/>
      <c r="C94" s="9"/>
      <c r="D94" s="9"/>
      <c r="E94" s="9"/>
      <c r="F94" s="8"/>
      <c r="G94" s="8"/>
      <c r="H94" s="8"/>
      <c r="I94" s="8"/>
    </row>
    <row r="95" spans="3:5" s="11" customFormat="1" ht="15">
      <c r="C95" s="7"/>
      <c r="D95" s="7"/>
      <c r="E95" s="7"/>
    </row>
    <row r="96" spans="1:9" s="11" customFormat="1" ht="15">
      <c r="A96" s="46" t="s">
        <v>29</v>
      </c>
      <c r="B96" s="46" t="s">
        <v>30</v>
      </c>
      <c r="C96" s="47"/>
      <c r="D96" s="47"/>
      <c r="E96" s="47"/>
      <c r="F96" s="47"/>
      <c r="G96" s="48"/>
      <c r="H96" s="45" t="s">
        <v>70</v>
      </c>
      <c r="I96" s="45" t="s">
        <v>69</v>
      </c>
    </row>
    <row r="97" spans="1:9" s="11" customFormat="1" ht="15">
      <c r="A97" s="49" t="s">
        <v>17</v>
      </c>
      <c r="B97" s="120" t="s">
        <v>174</v>
      </c>
      <c r="C97" s="121"/>
      <c r="D97" s="121"/>
      <c r="E97" s="121"/>
      <c r="F97" s="121"/>
      <c r="G97" s="122"/>
      <c r="H97" s="123" t="s">
        <v>180</v>
      </c>
      <c r="I97" s="50">
        <f>TRUNC(SUM(I99:I112),2)</f>
        <v>0.9</v>
      </c>
    </row>
    <row r="98" spans="1:9" s="11" customFormat="1" ht="15.75" customHeight="1">
      <c r="A98" s="51" t="s">
        <v>1</v>
      </c>
      <c r="B98" s="52" t="s">
        <v>2</v>
      </c>
      <c r="C98" s="52" t="s">
        <v>31</v>
      </c>
      <c r="D98" s="53" t="s">
        <v>32</v>
      </c>
      <c r="E98" s="54" t="s">
        <v>33</v>
      </c>
      <c r="F98" s="55" t="s">
        <v>4</v>
      </c>
      <c r="G98" s="56" t="s">
        <v>33</v>
      </c>
      <c r="H98" s="57"/>
      <c r="I98" s="53" t="s">
        <v>71</v>
      </c>
    </row>
    <row r="99" spans="1:9" s="11" customFormat="1" ht="28.5">
      <c r="A99" s="58">
        <v>1</v>
      </c>
      <c r="B99" s="59" t="s">
        <v>125</v>
      </c>
      <c r="C99" s="58" t="s">
        <v>79</v>
      </c>
      <c r="D99" s="70">
        <f>ROUND((D102+D107)*0.05,4)</f>
        <v>0.0005</v>
      </c>
      <c r="E99" s="97">
        <v>0.05</v>
      </c>
      <c r="F99" s="86">
        <v>147.75</v>
      </c>
      <c r="G99" s="61" t="s">
        <v>92</v>
      </c>
      <c r="H99" s="62">
        <v>90779</v>
      </c>
      <c r="I99" s="83">
        <f aca="true" t="shared" si="4" ref="I99:I112">TRUNC(D99*F99,4)</f>
        <v>0.0738</v>
      </c>
    </row>
    <row r="100" spans="1:9" s="11" customFormat="1" ht="15">
      <c r="A100" s="58"/>
      <c r="B100" s="59" t="s">
        <v>103</v>
      </c>
      <c r="C100" s="87"/>
      <c r="D100" s="90"/>
      <c r="E100" s="88"/>
      <c r="F100" s="89"/>
      <c r="G100" s="88"/>
      <c r="H100" s="72"/>
      <c r="I100" s="83"/>
    </row>
    <row r="101" spans="1:9" s="11" customFormat="1" ht="28.5">
      <c r="A101" s="58" t="s">
        <v>11</v>
      </c>
      <c r="B101" s="59" t="s">
        <v>73</v>
      </c>
      <c r="C101" s="58" t="s">
        <v>79</v>
      </c>
      <c r="D101" s="70">
        <v>0.005</v>
      </c>
      <c r="E101" s="60" t="s">
        <v>74</v>
      </c>
      <c r="F101" s="86">
        <v>14.41</v>
      </c>
      <c r="G101" s="64" t="s">
        <v>64</v>
      </c>
      <c r="H101" s="65">
        <v>88253</v>
      </c>
      <c r="I101" s="83">
        <f t="shared" si="4"/>
        <v>0.072</v>
      </c>
    </row>
    <row r="102" spans="1:9" s="11" customFormat="1" ht="15">
      <c r="A102" s="58" t="s">
        <v>13</v>
      </c>
      <c r="B102" s="59" t="s">
        <v>181</v>
      </c>
      <c r="C102" s="58" t="s">
        <v>79</v>
      </c>
      <c r="D102" s="70">
        <v>0.005</v>
      </c>
      <c r="E102" s="60" t="s">
        <v>74</v>
      </c>
      <c r="F102" s="86">
        <v>33.61</v>
      </c>
      <c r="G102" s="64" t="s">
        <v>64</v>
      </c>
      <c r="H102" s="65">
        <v>90781</v>
      </c>
      <c r="I102" s="83">
        <f t="shared" si="4"/>
        <v>0.168</v>
      </c>
    </row>
    <row r="103" spans="1:9" s="11" customFormat="1" ht="28.5">
      <c r="A103" s="58" t="s">
        <v>16</v>
      </c>
      <c r="B103" s="59" t="s">
        <v>76</v>
      </c>
      <c r="C103" s="58" t="s">
        <v>34</v>
      </c>
      <c r="D103" s="70">
        <v>0.002</v>
      </c>
      <c r="E103" s="60" t="s">
        <v>74</v>
      </c>
      <c r="F103" s="86">
        <v>72.54</v>
      </c>
      <c r="G103" s="64" t="s">
        <v>64</v>
      </c>
      <c r="H103" s="65">
        <v>92145</v>
      </c>
      <c r="I103" s="83">
        <f t="shared" si="4"/>
        <v>0.145</v>
      </c>
    </row>
    <row r="104" spans="1:9" s="11" customFormat="1" ht="28.5">
      <c r="A104" s="58" t="s">
        <v>52</v>
      </c>
      <c r="B104" s="59" t="s">
        <v>76</v>
      </c>
      <c r="C104" s="58" t="s">
        <v>60</v>
      </c>
      <c r="D104" s="70">
        <f>D102</f>
        <v>0.005</v>
      </c>
      <c r="E104" s="60"/>
      <c r="F104" s="86">
        <v>26.15</v>
      </c>
      <c r="G104" s="64" t="s">
        <v>64</v>
      </c>
      <c r="H104" s="65">
        <v>92146</v>
      </c>
      <c r="I104" s="83">
        <f t="shared" si="4"/>
        <v>0.1307</v>
      </c>
    </row>
    <row r="105" spans="1:9" s="11" customFormat="1" ht="15">
      <c r="A105" s="58">
        <v>4</v>
      </c>
      <c r="B105" s="59" t="s">
        <v>101</v>
      </c>
      <c r="C105" s="69" t="s">
        <v>81</v>
      </c>
      <c r="D105" s="84">
        <f>ROUND((D102)/176,6)</f>
        <v>2.8E-05</v>
      </c>
      <c r="E105" s="60"/>
      <c r="F105" s="83">
        <f>TRUNC(899.9*(1+Orcamento!$E$106),4)</f>
        <v>1000.0588</v>
      </c>
      <c r="G105" s="77" t="s">
        <v>82</v>
      </c>
      <c r="H105" s="65" t="s">
        <v>102</v>
      </c>
      <c r="I105" s="83">
        <f t="shared" si="4"/>
        <v>0.028</v>
      </c>
    </row>
    <row r="106" spans="1:9" s="11" customFormat="1" ht="15">
      <c r="A106" s="58"/>
      <c r="B106" s="59" t="s">
        <v>104</v>
      </c>
      <c r="C106" s="87"/>
      <c r="D106" s="90"/>
      <c r="E106" s="88"/>
      <c r="F106" s="89"/>
      <c r="G106" s="88"/>
      <c r="H106" s="72"/>
      <c r="I106" s="83">
        <f t="shared" si="4"/>
        <v>0</v>
      </c>
    </row>
    <row r="107" spans="1:9" s="11" customFormat="1" ht="28.5">
      <c r="A107" s="58">
        <v>5</v>
      </c>
      <c r="B107" s="59" t="s">
        <v>75</v>
      </c>
      <c r="C107" s="58" t="s">
        <v>79</v>
      </c>
      <c r="D107" s="70">
        <v>0.004</v>
      </c>
      <c r="E107" s="60" t="s">
        <v>74</v>
      </c>
      <c r="F107" s="86">
        <v>39.14</v>
      </c>
      <c r="G107" s="64" t="s">
        <v>64</v>
      </c>
      <c r="H107" s="65">
        <v>88597</v>
      </c>
      <c r="I107" s="83">
        <f t="shared" si="4"/>
        <v>0.1565</v>
      </c>
    </row>
    <row r="108" spans="1:9" s="73" customFormat="1" ht="14.25">
      <c r="A108" s="58" t="s">
        <v>99</v>
      </c>
      <c r="B108" s="59" t="s">
        <v>80</v>
      </c>
      <c r="C108" s="69" t="s">
        <v>81</v>
      </c>
      <c r="D108" s="84">
        <f>ROUND((D107)/176,6)</f>
        <v>2.3E-05</v>
      </c>
      <c r="E108" s="60"/>
      <c r="F108" s="83">
        <f>TRUNC(171.37*(1+Orcamento!$E$106),4)</f>
        <v>190.4434</v>
      </c>
      <c r="G108" s="77" t="s">
        <v>82</v>
      </c>
      <c r="H108" s="72" t="s">
        <v>57</v>
      </c>
      <c r="I108" s="83">
        <f t="shared" si="4"/>
        <v>0.0043</v>
      </c>
    </row>
    <row r="109" spans="1:9" s="73" customFormat="1" ht="14.25">
      <c r="A109" s="58" t="s">
        <v>100</v>
      </c>
      <c r="B109" s="74" t="s">
        <v>83</v>
      </c>
      <c r="C109" s="75" t="s">
        <v>84</v>
      </c>
      <c r="D109" s="85">
        <f>ROUND((D107)/(176*12),6)</f>
        <v>2E-06</v>
      </c>
      <c r="E109" s="76"/>
      <c r="F109" s="83">
        <f>TRUNC(6461.72*(1+Orcamento!$E$107),4)</f>
        <v>6736.9892</v>
      </c>
      <c r="G109" s="71" t="s">
        <v>85</v>
      </c>
      <c r="H109" s="72" t="s">
        <v>86</v>
      </c>
      <c r="I109" s="83">
        <f t="shared" si="4"/>
        <v>0.0134</v>
      </c>
    </row>
    <row r="110" spans="1:9" s="11" customFormat="1" ht="15">
      <c r="A110" s="58">
        <v>7</v>
      </c>
      <c r="B110" s="59" t="s">
        <v>48</v>
      </c>
      <c r="C110" s="58" t="s">
        <v>95</v>
      </c>
      <c r="D110" s="70">
        <v>0.0004</v>
      </c>
      <c r="E110" s="60"/>
      <c r="F110" s="86">
        <v>240.82</v>
      </c>
      <c r="G110" s="61" t="s">
        <v>77</v>
      </c>
      <c r="H110" s="62" t="s">
        <v>126</v>
      </c>
      <c r="I110" s="83">
        <f t="shared" si="4"/>
        <v>0.0963</v>
      </c>
    </row>
    <row r="111" spans="1:9" s="11" customFormat="1" ht="15">
      <c r="A111" s="58" t="s">
        <v>127</v>
      </c>
      <c r="B111" s="59" t="s">
        <v>36</v>
      </c>
      <c r="C111" s="58" t="s">
        <v>95</v>
      </c>
      <c r="D111" s="70">
        <f>ROUND(D101*1,4)</f>
        <v>0.005</v>
      </c>
      <c r="E111" s="60"/>
      <c r="F111" s="86">
        <f>TRUNC(0.35*(1+Orcamento!$E$106),4)</f>
        <v>0.3889</v>
      </c>
      <c r="G111" s="68" t="s">
        <v>82</v>
      </c>
      <c r="H111" s="62" t="s">
        <v>89</v>
      </c>
      <c r="I111" s="83">
        <f t="shared" si="4"/>
        <v>0.0019</v>
      </c>
    </row>
    <row r="112" spans="1:9" s="11" customFormat="1" ht="15">
      <c r="A112" s="58" t="s">
        <v>128</v>
      </c>
      <c r="B112" s="59" t="s">
        <v>37</v>
      </c>
      <c r="C112" s="58" t="s">
        <v>95</v>
      </c>
      <c r="D112" s="70">
        <f>ROUND(D111*0.5,4)</f>
        <v>0.0025</v>
      </c>
      <c r="E112" s="60"/>
      <c r="F112" s="86">
        <f>TRUNC(5*(1+Orcamento!$E$106),4)</f>
        <v>5.5565</v>
      </c>
      <c r="G112" s="68" t="s">
        <v>82</v>
      </c>
      <c r="H112" s="62" t="s">
        <v>87</v>
      </c>
      <c r="I112" s="83">
        <f t="shared" si="4"/>
        <v>0.0138</v>
      </c>
    </row>
    <row r="113" spans="1:5" s="11" customFormat="1" ht="15">
      <c r="A113" s="63"/>
      <c r="B113" s="63"/>
      <c r="C113" s="63"/>
      <c r="D113" s="63"/>
      <c r="E113" s="63"/>
    </row>
    <row r="114" spans="3:5" s="11" customFormat="1" ht="15">
      <c r="C114" s="7"/>
      <c r="D114" s="7"/>
      <c r="E114" s="7"/>
    </row>
    <row r="115" spans="1:9" s="11" customFormat="1" ht="15">
      <c r="A115" s="46" t="s">
        <v>29</v>
      </c>
      <c r="B115" s="46" t="s">
        <v>30</v>
      </c>
      <c r="C115" s="47"/>
      <c r="D115" s="47"/>
      <c r="E115" s="47"/>
      <c r="F115" s="47"/>
      <c r="G115" s="48"/>
      <c r="H115" s="45" t="s">
        <v>70</v>
      </c>
      <c r="I115" s="45" t="s">
        <v>69</v>
      </c>
    </row>
    <row r="116" spans="1:9" s="11" customFormat="1" ht="15">
      <c r="A116" s="49" t="s">
        <v>18</v>
      </c>
      <c r="B116" s="120" t="s">
        <v>177</v>
      </c>
      <c r="C116" s="121"/>
      <c r="D116" s="121"/>
      <c r="E116" s="121"/>
      <c r="F116" s="121"/>
      <c r="G116" s="122"/>
      <c r="H116" s="123" t="s">
        <v>180</v>
      </c>
      <c r="I116" s="124">
        <f>TRUNC(SUM(I118:I125),2)</f>
        <v>2.42</v>
      </c>
    </row>
    <row r="117" spans="1:9" s="11" customFormat="1" ht="15.75" customHeight="1">
      <c r="A117" s="51" t="s">
        <v>1</v>
      </c>
      <c r="B117" s="52" t="s">
        <v>2</v>
      </c>
      <c r="C117" s="52" t="s">
        <v>31</v>
      </c>
      <c r="D117" s="53" t="s">
        <v>32</v>
      </c>
      <c r="E117" s="54" t="s">
        <v>33</v>
      </c>
      <c r="F117" s="55" t="s">
        <v>4</v>
      </c>
      <c r="G117" s="56" t="s">
        <v>33</v>
      </c>
      <c r="H117" s="57"/>
      <c r="I117" s="53" t="s">
        <v>71</v>
      </c>
    </row>
    <row r="118" spans="1:9" s="11" customFormat="1" ht="28.5">
      <c r="A118" s="58" t="s">
        <v>7</v>
      </c>
      <c r="B118" s="59" t="s">
        <v>125</v>
      </c>
      <c r="C118" s="58" t="s">
        <v>79</v>
      </c>
      <c r="D118" s="70">
        <f>ROUND((D119)*0.05,4)</f>
        <v>0.0008</v>
      </c>
      <c r="E118" s="97">
        <v>0.05</v>
      </c>
      <c r="F118" s="86">
        <v>147.75</v>
      </c>
      <c r="G118" s="61" t="s">
        <v>92</v>
      </c>
      <c r="H118" s="62">
        <v>90779</v>
      </c>
      <c r="I118" s="83">
        <f aca="true" t="shared" si="5" ref="I118:I125">TRUNC(D118*F118,4)</f>
        <v>0.1182</v>
      </c>
    </row>
    <row r="119" spans="1:9" s="11" customFormat="1" ht="28.5">
      <c r="A119" s="58" t="s">
        <v>9</v>
      </c>
      <c r="B119" s="59" t="s">
        <v>38</v>
      </c>
      <c r="C119" s="58" t="s">
        <v>79</v>
      </c>
      <c r="D119" s="70">
        <v>0.0156</v>
      </c>
      <c r="E119" s="60"/>
      <c r="F119" s="86">
        <v>108.39</v>
      </c>
      <c r="G119" s="61" t="s">
        <v>64</v>
      </c>
      <c r="H119" s="62">
        <v>90778</v>
      </c>
      <c r="I119" s="83">
        <f t="shared" si="5"/>
        <v>1.6908</v>
      </c>
    </row>
    <row r="120" spans="1:9" s="11" customFormat="1" ht="15">
      <c r="A120" s="58">
        <v>2</v>
      </c>
      <c r="B120" s="59" t="s">
        <v>55</v>
      </c>
      <c r="C120" s="58" t="s">
        <v>34</v>
      </c>
      <c r="D120" s="70">
        <f>ROUND(D119*0.5,4)</f>
        <v>0.0078</v>
      </c>
      <c r="E120" s="60"/>
      <c r="F120" s="86">
        <f>TRUNC(32.3013*(1+Orcamento!$E$108),4)</f>
        <v>32.9667</v>
      </c>
      <c r="G120" s="61" t="s">
        <v>62</v>
      </c>
      <c r="H120" s="62" t="s">
        <v>63</v>
      </c>
      <c r="I120" s="83">
        <f t="shared" si="5"/>
        <v>0.2571</v>
      </c>
    </row>
    <row r="121" spans="1:9" s="11" customFormat="1" ht="15">
      <c r="A121" s="58">
        <v>3</v>
      </c>
      <c r="B121" s="59" t="s">
        <v>48</v>
      </c>
      <c r="C121" s="58" t="s">
        <v>95</v>
      </c>
      <c r="D121" s="70">
        <v>0.001</v>
      </c>
      <c r="E121" s="60"/>
      <c r="F121" s="86">
        <v>240.82</v>
      </c>
      <c r="G121" s="61" t="s">
        <v>77</v>
      </c>
      <c r="H121" s="62" t="s">
        <v>126</v>
      </c>
      <c r="I121" s="83">
        <f t="shared" si="5"/>
        <v>0.2408</v>
      </c>
    </row>
    <row r="122" spans="1:9" s="73" customFormat="1" ht="14.25">
      <c r="A122" s="58" t="s">
        <v>90</v>
      </c>
      <c r="B122" s="59" t="s">
        <v>80</v>
      </c>
      <c r="C122" s="69" t="s">
        <v>81</v>
      </c>
      <c r="D122" s="84">
        <f>ROUND((D119)/176,6)</f>
        <v>8.9E-05</v>
      </c>
      <c r="E122" s="60"/>
      <c r="F122" s="83">
        <f>TRUNC(171.37*(1+Orcamento!$E$106),4)</f>
        <v>190.4434</v>
      </c>
      <c r="G122" s="77" t="s">
        <v>82</v>
      </c>
      <c r="H122" s="72" t="s">
        <v>57</v>
      </c>
      <c r="I122" s="83">
        <f t="shared" si="5"/>
        <v>0.0169</v>
      </c>
    </row>
    <row r="123" spans="1:9" s="73" customFormat="1" ht="14.25">
      <c r="A123" s="58" t="s">
        <v>91</v>
      </c>
      <c r="B123" s="74" t="s">
        <v>83</v>
      </c>
      <c r="C123" s="75" t="s">
        <v>84</v>
      </c>
      <c r="D123" s="85">
        <f>ROUND((D119)/(176*12),6)</f>
        <v>7E-06</v>
      </c>
      <c r="E123" s="76"/>
      <c r="F123" s="83">
        <f>TRUNC(6461.72*(1+Orcamento!$E$107),4)</f>
        <v>6736.9892</v>
      </c>
      <c r="G123" s="71" t="s">
        <v>85</v>
      </c>
      <c r="H123" s="72" t="s">
        <v>86</v>
      </c>
      <c r="I123" s="83">
        <f t="shared" si="5"/>
        <v>0.0471</v>
      </c>
    </row>
    <row r="124" spans="1:9" s="11" customFormat="1" ht="15">
      <c r="A124" s="58" t="s">
        <v>97</v>
      </c>
      <c r="B124" s="59" t="s">
        <v>36</v>
      </c>
      <c r="C124" s="58" t="s">
        <v>95</v>
      </c>
      <c r="D124" s="70">
        <f>ROUND(D119*1,4)</f>
        <v>0.0156</v>
      </c>
      <c r="E124" s="60"/>
      <c r="F124" s="86">
        <f>TRUNC(0.35*(1+Orcamento!$E$106),4)</f>
        <v>0.3889</v>
      </c>
      <c r="G124" s="68" t="s">
        <v>82</v>
      </c>
      <c r="H124" s="62" t="s">
        <v>89</v>
      </c>
      <c r="I124" s="83">
        <f t="shared" si="5"/>
        <v>0.006</v>
      </c>
    </row>
    <row r="125" spans="1:9" s="11" customFormat="1" ht="15">
      <c r="A125" s="58" t="s">
        <v>98</v>
      </c>
      <c r="B125" s="59" t="s">
        <v>37</v>
      </c>
      <c r="C125" s="58" t="s">
        <v>95</v>
      </c>
      <c r="D125" s="70">
        <f>ROUND(D124*0.5,4)</f>
        <v>0.0078</v>
      </c>
      <c r="E125" s="60"/>
      <c r="F125" s="86">
        <f>TRUNC(5*(1+Orcamento!$E$106),4)</f>
        <v>5.5565</v>
      </c>
      <c r="G125" s="68" t="s">
        <v>82</v>
      </c>
      <c r="H125" s="62" t="s">
        <v>87</v>
      </c>
      <c r="I125" s="83">
        <f t="shared" si="5"/>
        <v>0.0433</v>
      </c>
    </row>
    <row r="126" spans="1:9" s="11" customFormat="1" ht="15">
      <c r="A126" s="8"/>
      <c r="B126" s="5"/>
      <c r="C126" s="9"/>
      <c r="D126" s="9"/>
      <c r="E126" s="9"/>
      <c r="I126" s="8"/>
    </row>
    <row r="127" spans="2:5" s="11" customFormat="1" ht="15">
      <c r="B127" s="6"/>
      <c r="C127" s="7"/>
      <c r="D127" s="7"/>
      <c r="E127" s="7"/>
    </row>
    <row r="128" spans="1:9" s="11" customFormat="1" ht="15">
      <c r="A128" s="46" t="s">
        <v>29</v>
      </c>
      <c r="B128" s="46" t="s">
        <v>30</v>
      </c>
      <c r="C128" s="47"/>
      <c r="D128" s="47"/>
      <c r="E128" s="47"/>
      <c r="F128" s="47"/>
      <c r="G128" s="48"/>
      <c r="H128" s="45" t="s">
        <v>70</v>
      </c>
      <c r="I128" s="45" t="s">
        <v>69</v>
      </c>
    </row>
    <row r="129" spans="1:9" s="11" customFormat="1" ht="15">
      <c r="A129" s="49" t="s">
        <v>369</v>
      </c>
      <c r="B129" s="120" t="s">
        <v>367</v>
      </c>
      <c r="C129" s="121"/>
      <c r="D129" s="121"/>
      <c r="E129" s="121"/>
      <c r="F129" s="121"/>
      <c r="G129" s="122"/>
      <c r="H129" s="123" t="s">
        <v>180</v>
      </c>
      <c r="I129" s="124">
        <f>TRUNC(SUM(I131:I142),2)</f>
        <v>9.85</v>
      </c>
    </row>
    <row r="130" spans="1:9" s="11" customFormat="1" ht="15.75" customHeight="1">
      <c r="A130" s="51" t="s">
        <v>1</v>
      </c>
      <c r="B130" s="52" t="s">
        <v>2</v>
      </c>
      <c r="C130" s="52" t="s">
        <v>31</v>
      </c>
      <c r="D130" s="53" t="s">
        <v>32</v>
      </c>
      <c r="E130" s="54" t="s">
        <v>33</v>
      </c>
      <c r="F130" s="55" t="s">
        <v>4</v>
      </c>
      <c r="G130" s="56" t="s">
        <v>33</v>
      </c>
      <c r="H130" s="57"/>
      <c r="I130" s="53" t="s">
        <v>71</v>
      </c>
    </row>
    <row r="131" spans="1:9" s="11" customFormat="1" ht="28.5">
      <c r="A131" s="58" t="s">
        <v>7</v>
      </c>
      <c r="B131" s="59" t="s">
        <v>125</v>
      </c>
      <c r="C131" s="58" t="s">
        <v>79</v>
      </c>
      <c r="D131" s="70">
        <f>ROUND((D132+D134)*0.05,4)</f>
        <v>0.004</v>
      </c>
      <c r="E131" s="97">
        <v>0.05</v>
      </c>
      <c r="F131" s="86">
        <v>147.75</v>
      </c>
      <c r="G131" s="61" t="s">
        <v>92</v>
      </c>
      <c r="H131" s="62">
        <v>90779</v>
      </c>
      <c r="I131" s="83">
        <f aca="true" t="shared" si="6" ref="I131:I142">TRUNC(D131*F131,4)</f>
        <v>0.591</v>
      </c>
    </row>
    <row r="132" spans="1:9" s="11" customFormat="1" ht="28.5">
      <c r="A132" s="58" t="s">
        <v>9</v>
      </c>
      <c r="B132" s="59" t="s">
        <v>38</v>
      </c>
      <c r="C132" s="58" t="s">
        <v>79</v>
      </c>
      <c r="D132" s="70">
        <v>0.0159</v>
      </c>
      <c r="E132" s="60"/>
      <c r="F132" s="86">
        <v>108.39</v>
      </c>
      <c r="G132" s="61" t="s">
        <v>64</v>
      </c>
      <c r="H132" s="62">
        <v>90778</v>
      </c>
      <c r="I132" s="83">
        <f t="shared" si="6"/>
        <v>1.7234</v>
      </c>
    </row>
    <row r="133" spans="1:9" s="11" customFormat="1" ht="15">
      <c r="A133" s="58" t="s">
        <v>46</v>
      </c>
      <c r="B133" s="59" t="s">
        <v>51</v>
      </c>
      <c r="C133" s="58" t="s">
        <v>79</v>
      </c>
      <c r="D133" s="70">
        <f>ROUND(D132*2*2,4)</f>
        <v>0.0636</v>
      </c>
      <c r="E133" s="60"/>
      <c r="F133" s="86">
        <v>18.24</v>
      </c>
      <c r="G133" s="64" t="s">
        <v>64</v>
      </c>
      <c r="H133" s="65">
        <v>88316</v>
      </c>
      <c r="I133" s="83">
        <f t="shared" si="6"/>
        <v>1.16</v>
      </c>
    </row>
    <row r="134" spans="1:9" s="11" customFormat="1" ht="28.5">
      <c r="A134" s="58" t="s">
        <v>122</v>
      </c>
      <c r="B134" s="59" t="s">
        <v>138</v>
      </c>
      <c r="C134" s="58" t="s">
        <v>79</v>
      </c>
      <c r="D134" s="70">
        <f>ROUND(D132*4,4)</f>
        <v>0.0636</v>
      </c>
      <c r="E134" s="60"/>
      <c r="F134" s="86">
        <v>30.57</v>
      </c>
      <c r="G134" s="61" t="s">
        <v>64</v>
      </c>
      <c r="H134" s="62">
        <v>88321</v>
      </c>
      <c r="I134" s="83">
        <f t="shared" si="6"/>
        <v>1.9442</v>
      </c>
    </row>
    <row r="135" spans="1:9" s="11" customFormat="1" ht="28.5">
      <c r="A135" s="58" t="s">
        <v>123</v>
      </c>
      <c r="B135" s="59" t="s">
        <v>137</v>
      </c>
      <c r="C135" s="58" t="s">
        <v>79</v>
      </c>
      <c r="D135" s="70">
        <f>D134</f>
        <v>0.0636</v>
      </c>
      <c r="E135" s="60"/>
      <c r="F135" s="86">
        <v>30.51</v>
      </c>
      <c r="G135" s="61" t="s">
        <v>64</v>
      </c>
      <c r="H135" s="62">
        <v>88249</v>
      </c>
      <c r="I135" s="83">
        <f t="shared" si="6"/>
        <v>1.9404</v>
      </c>
    </row>
    <row r="136" spans="1:9" s="11" customFormat="1" ht="15">
      <c r="A136" s="58">
        <v>2</v>
      </c>
      <c r="B136" s="59" t="s">
        <v>55</v>
      </c>
      <c r="C136" s="58" t="s">
        <v>34</v>
      </c>
      <c r="D136" s="70">
        <f>ROUND((D132+D134)*0.5,4)</f>
        <v>0.0398</v>
      </c>
      <c r="E136" s="60"/>
      <c r="F136" s="86">
        <f>TRUNC(32.3013*(1+Orcamento!$E$108),4)</f>
        <v>32.9667</v>
      </c>
      <c r="G136" s="61" t="s">
        <v>62</v>
      </c>
      <c r="H136" s="62" t="s">
        <v>63</v>
      </c>
      <c r="I136" s="83">
        <f t="shared" si="6"/>
        <v>1.312</v>
      </c>
    </row>
    <row r="137" spans="1:9" s="11" customFormat="1" ht="15">
      <c r="A137" s="58">
        <v>3</v>
      </c>
      <c r="B137" s="59" t="s">
        <v>48</v>
      </c>
      <c r="C137" s="58" t="s">
        <v>95</v>
      </c>
      <c r="D137" s="70">
        <v>0.001</v>
      </c>
      <c r="E137" s="60"/>
      <c r="F137" s="86">
        <v>240.82</v>
      </c>
      <c r="G137" s="61" t="s">
        <v>77</v>
      </c>
      <c r="H137" s="62" t="s">
        <v>126</v>
      </c>
      <c r="I137" s="83">
        <f t="shared" si="6"/>
        <v>0.2408</v>
      </c>
    </row>
    <row r="138" spans="1:9" s="73" customFormat="1" ht="14.25">
      <c r="A138" s="58" t="s">
        <v>90</v>
      </c>
      <c r="B138" s="59" t="s">
        <v>80</v>
      </c>
      <c r="C138" s="69" t="s">
        <v>81</v>
      </c>
      <c r="D138" s="84">
        <f>ROUND((D132+D134)/176,6)</f>
        <v>0.000452</v>
      </c>
      <c r="E138" s="60"/>
      <c r="F138" s="83">
        <f>TRUNC(171.37*(1+Orcamento!$E$106),4)</f>
        <v>190.4434</v>
      </c>
      <c r="G138" s="77" t="s">
        <v>82</v>
      </c>
      <c r="H138" s="72" t="s">
        <v>57</v>
      </c>
      <c r="I138" s="83">
        <f t="shared" si="6"/>
        <v>0.086</v>
      </c>
    </row>
    <row r="139" spans="1:9" s="73" customFormat="1" ht="14.25">
      <c r="A139" s="58" t="s">
        <v>91</v>
      </c>
      <c r="B139" s="74" t="s">
        <v>83</v>
      </c>
      <c r="C139" s="75" t="s">
        <v>84</v>
      </c>
      <c r="D139" s="85">
        <f>ROUND((D132+D134)/(176*12),6)</f>
        <v>3.8E-05</v>
      </c>
      <c r="E139" s="76"/>
      <c r="F139" s="83">
        <f>TRUNC(6461.72*(1+Orcamento!$E$107),4)</f>
        <v>6736.9892</v>
      </c>
      <c r="G139" s="71" t="s">
        <v>85</v>
      </c>
      <c r="H139" s="72" t="s">
        <v>86</v>
      </c>
      <c r="I139" s="83">
        <f t="shared" si="6"/>
        <v>0.256</v>
      </c>
    </row>
    <row r="140" spans="1:9" s="11" customFormat="1" ht="15">
      <c r="A140" s="58" t="s">
        <v>97</v>
      </c>
      <c r="B140" s="59" t="s">
        <v>36</v>
      </c>
      <c r="C140" s="58" t="s">
        <v>95</v>
      </c>
      <c r="D140" s="70">
        <f>ROUND((D132+D134)*1,4)</f>
        <v>0.0795</v>
      </c>
      <c r="E140" s="60"/>
      <c r="F140" s="86">
        <f>TRUNC(0.35*(1+Orcamento!$E$106),4)</f>
        <v>0.3889</v>
      </c>
      <c r="G140" s="68" t="s">
        <v>82</v>
      </c>
      <c r="H140" s="62" t="s">
        <v>89</v>
      </c>
      <c r="I140" s="83">
        <f t="shared" si="6"/>
        <v>0.0309</v>
      </c>
    </row>
    <row r="141" spans="1:9" s="11" customFormat="1" ht="15">
      <c r="A141" s="58" t="s">
        <v>98</v>
      </c>
      <c r="B141" s="59" t="s">
        <v>37</v>
      </c>
      <c r="C141" s="58" t="s">
        <v>95</v>
      </c>
      <c r="D141" s="70">
        <f>ROUND(D140*0.5,4)</f>
        <v>0.0398</v>
      </c>
      <c r="E141" s="60"/>
      <c r="F141" s="86">
        <f>TRUNC(5*(1+Orcamento!$E$106),4)</f>
        <v>5.5565</v>
      </c>
      <c r="G141" s="68" t="s">
        <v>82</v>
      </c>
      <c r="H141" s="62" t="s">
        <v>87</v>
      </c>
      <c r="I141" s="83">
        <f t="shared" si="6"/>
        <v>0.2211</v>
      </c>
    </row>
    <row r="142" spans="1:9" s="11" customFormat="1" ht="57">
      <c r="A142" s="58">
        <v>6</v>
      </c>
      <c r="B142" s="59" t="s">
        <v>140</v>
      </c>
      <c r="C142" s="58" t="s">
        <v>141</v>
      </c>
      <c r="D142" s="70">
        <f>ROUND(D133*0.001,4)</f>
        <v>0.0001</v>
      </c>
      <c r="E142" s="60"/>
      <c r="F142" s="86">
        <v>3520.15</v>
      </c>
      <c r="G142" s="68" t="s">
        <v>92</v>
      </c>
      <c r="H142" s="62">
        <v>87322</v>
      </c>
      <c r="I142" s="83">
        <f t="shared" si="6"/>
        <v>0.352</v>
      </c>
    </row>
    <row r="143" spans="1:9" s="11" customFormat="1" ht="15">
      <c r="A143" s="8"/>
      <c r="B143" s="5"/>
      <c r="C143" s="9"/>
      <c r="D143" s="9"/>
      <c r="E143" s="9"/>
      <c r="I143" s="8"/>
    </row>
    <row r="144" spans="2:5" s="11" customFormat="1" ht="15">
      <c r="B144" s="6"/>
      <c r="C144" s="7"/>
      <c r="D144" s="7"/>
      <c r="E144" s="7"/>
    </row>
    <row r="145" spans="1:9" s="11" customFormat="1" ht="15">
      <c r="A145" s="46" t="s">
        <v>29</v>
      </c>
      <c r="B145" s="46" t="s">
        <v>30</v>
      </c>
      <c r="C145" s="47"/>
      <c r="D145" s="47"/>
      <c r="E145" s="47"/>
      <c r="F145" s="47"/>
      <c r="G145" s="48"/>
      <c r="H145" s="45" t="s">
        <v>70</v>
      </c>
      <c r="I145" s="45" t="s">
        <v>69</v>
      </c>
    </row>
    <row r="146" spans="1:9" s="11" customFormat="1" ht="15">
      <c r="A146" s="49" t="s">
        <v>370</v>
      </c>
      <c r="B146" s="120" t="s">
        <v>381</v>
      </c>
      <c r="C146" s="121"/>
      <c r="D146" s="121"/>
      <c r="E146" s="121"/>
      <c r="F146" s="121"/>
      <c r="G146" s="122"/>
      <c r="H146" s="123" t="s">
        <v>10</v>
      </c>
      <c r="I146" s="124">
        <f>TRUNC(SUM(I148:I156),2)</f>
        <v>6214.45</v>
      </c>
    </row>
    <row r="147" spans="1:9" s="11" customFormat="1" ht="15.75" customHeight="1">
      <c r="A147" s="51" t="s">
        <v>1</v>
      </c>
      <c r="B147" s="52" t="s">
        <v>2</v>
      </c>
      <c r="C147" s="52" t="s">
        <v>31</v>
      </c>
      <c r="D147" s="53" t="s">
        <v>32</v>
      </c>
      <c r="E147" s="54" t="s">
        <v>33</v>
      </c>
      <c r="F147" s="55" t="s">
        <v>4</v>
      </c>
      <c r="G147" s="56" t="s">
        <v>33</v>
      </c>
      <c r="H147" s="57"/>
      <c r="I147" s="53" t="s">
        <v>71</v>
      </c>
    </row>
    <row r="148" spans="1:9" s="11" customFormat="1" ht="28.5">
      <c r="A148" s="58" t="s">
        <v>7</v>
      </c>
      <c r="B148" s="59" t="s">
        <v>125</v>
      </c>
      <c r="C148" s="58" t="s">
        <v>79</v>
      </c>
      <c r="D148" s="70">
        <f>ROUND((D149+D150)*0.05,4)</f>
        <v>3</v>
      </c>
      <c r="E148" s="97">
        <v>0.05</v>
      </c>
      <c r="F148" s="86">
        <v>147.75</v>
      </c>
      <c r="G148" s="61" t="s">
        <v>92</v>
      </c>
      <c r="H148" s="62">
        <v>90779</v>
      </c>
      <c r="I148" s="83">
        <f aca="true" t="shared" si="7" ref="I148:I156">TRUNC(D148*F148,4)</f>
        <v>443.25</v>
      </c>
    </row>
    <row r="149" spans="1:9" s="11" customFormat="1" ht="28.5">
      <c r="A149" s="58" t="s">
        <v>9</v>
      </c>
      <c r="B149" s="59" t="s">
        <v>38</v>
      </c>
      <c r="C149" s="58" t="s">
        <v>79</v>
      </c>
      <c r="D149" s="70">
        <v>30</v>
      </c>
      <c r="E149" s="60"/>
      <c r="F149" s="86">
        <v>108.39</v>
      </c>
      <c r="G149" s="61" t="s">
        <v>64</v>
      </c>
      <c r="H149" s="62">
        <v>90778</v>
      </c>
      <c r="I149" s="83">
        <f t="shared" si="7"/>
        <v>3251.7</v>
      </c>
    </row>
    <row r="150" spans="1:9" s="11" customFormat="1" ht="28.5">
      <c r="A150" s="58" t="s">
        <v>122</v>
      </c>
      <c r="B150" s="59" t="s">
        <v>138</v>
      </c>
      <c r="C150" s="58" t="s">
        <v>79</v>
      </c>
      <c r="D150" s="70">
        <v>30</v>
      </c>
      <c r="E150" s="60"/>
      <c r="F150" s="86">
        <v>30.57</v>
      </c>
      <c r="G150" s="61" t="s">
        <v>64</v>
      </c>
      <c r="H150" s="62">
        <v>88321</v>
      </c>
      <c r="I150" s="83">
        <f t="shared" si="7"/>
        <v>917.1</v>
      </c>
    </row>
    <row r="151" spans="1:9" s="11" customFormat="1" ht="28.5">
      <c r="A151" s="58" t="s">
        <v>123</v>
      </c>
      <c r="B151" s="59" t="s">
        <v>137</v>
      </c>
      <c r="C151" s="58" t="s">
        <v>79</v>
      </c>
      <c r="D151" s="70">
        <v>30</v>
      </c>
      <c r="E151" s="60"/>
      <c r="F151" s="86">
        <v>30.51</v>
      </c>
      <c r="G151" s="61" t="s">
        <v>64</v>
      </c>
      <c r="H151" s="62">
        <v>88249</v>
      </c>
      <c r="I151" s="83">
        <f t="shared" si="7"/>
        <v>915.3</v>
      </c>
    </row>
    <row r="152" spans="1:9" s="11" customFormat="1" ht="15">
      <c r="A152" s="58">
        <v>3</v>
      </c>
      <c r="B152" s="59" t="s">
        <v>48</v>
      </c>
      <c r="C152" s="58" t="s">
        <v>95</v>
      </c>
      <c r="D152" s="70">
        <v>1</v>
      </c>
      <c r="E152" s="60"/>
      <c r="F152" s="86">
        <v>240.82</v>
      </c>
      <c r="G152" s="61" t="s">
        <v>77</v>
      </c>
      <c r="H152" s="62" t="s">
        <v>126</v>
      </c>
      <c r="I152" s="83">
        <f t="shared" si="7"/>
        <v>240.82</v>
      </c>
    </row>
    <row r="153" spans="1:9" s="73" customFormat="1" ht="14.25">
      <c r="A153" s="58" t="s">
        <v>90</v>
      </c>
      <c r="B153" s="59" t="s">
        <v>80</v>
      </c>
      <c r="C153" s="69" t="s">
        <v>81</v>
      </c>
      <c r="D153" s="70">
        <f>ROUND((D149+D150)/176,4)</f>
        <v>0.3409</v>
      </c>
      <c r="E153" s="60"/>
      <c r="F153" s="83">
        <f>TRUNC(171.37*(1+Orcamento!$E$106),4)</f>
        <v>190.4434</v>
      </c>
      <c r="G153" s="77" t="s">
        <v>82</v>
      </c>
      <c r="H153" s="72" t="s">
        <v>57</v>
      </c>
      <c r="I153" s="83">
        <f t="shared" si="7"/>
        <v>64.9221</v>
      </c>
    </row>
    <row r="154" spans="1:9" s="73" customFormat="1" ht="14.25">
      <c r="A154" s="58" t="s">
        <v>91</v>
      </c>
      <c r="B154" s="74" t="s">
        <v>83</v>
      </c>
      <c r="C154" s="75" t="s">
        <v>84</v>
      </c>
      <c r="D154" s="201">
        <f>ROUND((D149+D150)/(176*12),4)</f>
        <v>0.0284</v>
      </c>
      <c r="E154" s="76"/>
      <c r="F154" s="83">
        <f>TRUNC(6461.72*(1+Orcamento!$E$107),4)</f>
        <v>6736.9892</v>
      </c>
      <c r="G154" s="71" t="s">
        <v>85</v>
      </c>
      <c r="H154" s="72" t="s">
        <v>86</v>
      </c>
      <c r="I154" s="83">
        <f t="shared" si="7"/>
        <v>191.3304</v>
      </c>
    </row>
    <row r="155" spans="1:9" s="11" customFormat="1" ht="15">
      <c r="A155" s="58" t="s">
        <v>97</v>
      </c>
      <c r="B155" s="59" t="s">
        <v>36</v>
      </c>
      <c r="C155" s="58" t="s">
        <v>95</v>
      </c>
      <c r="D155" s="70">
        <f>ROUND((D149+D150)*1,4)</f>
        <v>60</v>
      </c>
      <c r="E155" s="60"/>
      <c r="F155" s="86">
        <f>TRUNC(0.35*(1+Orcamento!$E$106),4)</f>
        <v>0.3889</v>
      </c>
      <c r="G155" s="68" t="s">
        <v>82</v>
      </c>
      <c r="H155" s="62" t="s">
        <v>89</v>
      </c>
      <c r="I155" s="83">
        <f t="shared" si="7"/>
        <v>23.334</v>
      </c>
    </row>
    <row r="156" spans="1:9" s="11" customFormat="1" ht="15">
      <c r="A156" s="58" t="s">
        <v>98</v>
      </c>
      <c r="B156" s="59" t="s">
        <v>37</v>
      </c>
      <c r="C156" s="58" t="s">
        <v>95</v>
      </c>
      <c r="D156" s="70">
        <f>ROUND(D155*0.5,4)</f>
        <v>30</v>
      </c>
      <c r="E156" s="60"/>
      <c r="F156" s="86">
        <f>TRUNC(5*(1+Orcamento!$E$106),4)</f>
        <v>5.5565</v>
      </c>
      <c r="G156" s="68" t="s">
        <v>82</v>
      </c>
      <c r="H156" s="62" t="s">
        <v>87</v>
      </c>
      <c r="I156" s="83">
        <f t="shared" si="7"/>
        <v>166.695</v>
      </c>
    </row>
    <row r="157" spans="1:9" s="11" customFormat="1" ht="15">
      <c r="A157" s="8"/>
      <c r="B157" s="5"/>
      <c r="C157" s="9"/>
      <c r="D157" s="9"/>
      <c r="E157" s="9"/>
      <c r="I157" s="8"/>
    </row>
    <row r="158" spans="2:5" s="11" customFormat="1" ht="15">
      <c r="B158" s="6"/>
      <c r="C158" s="7"/>
      <c r="D158" s="7"/>
      <c r="E158" s="7"/>
    </row>
    <row r="159" spans="1:9" s="11" customFormat="1" ht="15">
      <c r="A159" s="46" t="s">
        <v>29</v>
      </c>
      <c r="B159" s="46" t="s">
        <v>30</v>
      </c>
      <c r="C159" s="47"/>
      <c r="D159" s="47"/>
      <c r="E159" s="47"/>
      <c r="F159" s="47"/>
      <c r="G159" s="48"/>
      <c r="H159" s="45" t="s">
        <v>70</v>
      </c>
      <c r="I159" s="45" t="s">
        <v>69</v>
      </c>
    </row>
    <row r="160" spans="1:9" s="11" customFormat="1" ht="15">
      <c r="A160" s="49" t="s">
        <v>371</v>
      </c>
      <c r="B160" s="120" t="s">
        <v>347</v>
      </c>
      <c r="C160" s="121"/>
      <c r="D160" s="121"/>
      <c r="E160" s="121"/>
      <c r="F160" s="121"/>
      <c r="G160" s="122"/>
      <c r="H160" s="123" t="s">
        <v>10</v>
      </c>
      <c r="I160" s="124">
        <f>TRUNC(SUM(I162:I165),2)</f>
        <v>206.53</v>
      </c>
    </row>
    <row r="161" spans="1:9" s="11" customFormat="1" ht="15.75" customHeight="1">
      <c r="A161" s="51" t="s">
        <v>1</v>
      </c>
      <c r="B161" s="52" t="s">
        <v>2</v>
      </c>
      <c r="C161" s="52" t="s">
        <v>31</v>
      </c>
      <c r="D161" s="53" t="s">
        <v>32</v>
      </c>
      <c r="E161" s="54" t="s">
        <v>33</v>
      </c>
      <c r="F161" s="55" t="s">
        <v>4</v>
      </c>
      <c r="G161" s="56" t="s">
        <v>33</v>
      </c>
      <c r="H161" s="57"/>
      <c r="I161" s="53" t="s">
        <v>71</v>
      </c>
    </row>
    <row r="162" spans="1:9" s="11" customFormat="1" ht="28.5">
      <c r="A162" s="58" t="s">
        <v>7</v>
      </c>
      <c r="B162" s="59" t="s">
        <v>38</v>
      </c>
      <c r="C162" s="58" t="s">
        <v>79</v>
      </c>
      <c r="D162" s="70">
        <f>D163*0.2</f>
        <v>0.48</v>
      </c>
      <c r="E162" s="60"/>
      <c r="F162" s="86">
        <v>108.39</v>
      </c>
      <c r="G162" s="61" t="s">
        <v>64</v>
      </c>
      <c r="H162" s="62">
        <v>90778</v>
      </c>
      <c r="I162" s="83">
        <f>TRUNC(D162*F162,4)</f>
        <v>52.0272</v>
      </c>
    </row>
    <row r="163" spans="1:9" s="11" customFormat="1" ht="28.5">
      <c r="A163" s="58" t="s">
        <v>9</v>
      </c>
      <c r="B163" s="59" t="s">
        <v>138</v>
      </c>
      <c r="C163" s="58" t="s">
        <v>79</v>
      </c>
      <c r="D163" s="70">
        <v>2.4</v>
      </c>
      <c r="E163" s="60"/>
      <c r="F163" s="86">
        <v>30.57</v>
      </c>
      <c r="G163" s="61" t="s">
        <v>64</v>
      </c>
      <c r="H163" s="62">
        <v>88321</v>
      </c>
      <c r="I163" s="83">
        <f>TRUNC(D163*F163,4)</f>
        <v>73.368</v>
      </c>
    </row>
    <row r="164" spans="1:9" s="11" customFormat="1" ht="28.5">
      <c r="A164" s="58" t="s">
        <v>46</v>
      </c>
      <c r="B164" s="59" t="s">
        <v>137</v>
      </c>
      <c r="C164" s="58" t="s">
        <v>79</v>
      </c>
      <c r="D164" s="70">
        <f>D163</f>
        <v>2.4</v>
      </c>
      <c r="E164" s="60"/>
      <c r="F164" s="86">
        <v>30.51</v>
      </c>
      <c r="G164" s="61" t="s">
        <v>64</v>
      </c>
      <c r="H164" s="62">
        <v>88249</v>
      </c>
      <c r="I164" s="83">
        <f>TRUNC(D164*F164,4)</f>
        <v>73.224</v>
      </c>
    </row>
    <row r="165" spans="1:9" s="11" customFormat="1" ht="15">
      <c r="A165" s="58">
        <v>2</v>
      </c>
      <c r="B165" s="59" t="s">
        <v>55</v>
      </c>
      <c r="C165" s="58" t="s">
        <v>34</v>
      </c>
      <c r="D165" s="70">
        <f>ROUND(D162*0.5,4)</f>
        <v>0.24</v>
      </c>
      <c r="E165" s="60"/>
      <c r="F165" s="86">
        <f>TRUNC(32.3013*(1+Orcamento!$E$108),4)</f>
        <v>32.9667</v>
      </c>
      <c r="G165" s="61" t="s">
        <v>62</v>
      </c>
      <c r="H165" s="62" t="s">
        <v>63</v>
      </c>
      <c r="I165" s="83">
        <f>TRUNC(D165*F165,4)</f>
        <v>7.912</v>
      </c>
    </row>
    <row r="166" spans="1:9" s="11" customFormat="1" ht="15">
      <c r="A166" s="8"/>
      <c r="B166" s="5"/>
      <c r="C166" s="9"/>
      <c r="D166" s="9"/>
      <c r="E166" s="9"/>
      <c r="I166" s="8"/>
    </row>
    <row r="167" spans="2:5" s="11" customFormat="1" ht="15">
      <c r="B167" s="6"/>
      <c r="C167" s="7"/>
      <c r="D167" s="7"/>
      <c r="E167" s="7"/>
    </row>
    <row r="168" spans="1:9" s="11" customFormat="1" ht="15">
      <c r="A168" s="46" t="s">
        <v>29</v>
      </c>
      <c r="B168" s="46" t="s">
        <v>30</v>
      </c>
      <c r="C168" s="47"/>
      <c r="D168" s="47"/>
      <c r="E168" s="47"/>
      <c r="F168" s="47"/>
      <c r="G168" s="48"/>
      <c r="H168" s="45" t="s">
        <v>70</v>
      </c>
      <c r="I168" s="45" t="s">
        <v>69</v>
      </c>
    </row>
    <row r="169" spans="1:9" s="11" customFormat="1" ht="15">
      <c r="A169" s="49" t="s">
        <v>372</v>
      </c>
      <c r="B169" s="120" t="s">
        <v>344</v>
      </c>
      <c r="C169" s="121"/>
      <c r="D169" s="121"/>
      <c r="E169" s="121"/>
      <c r="F169" s="121"/>
      <c r="G169" s="122"/>
      <c r="H169" s="123" t="s">
        <v>10</v>
      </c>
      <c r="I169" s="124">
        <f>TRUNC(SUM(I171:I174),2)</f>
        <v>103.26</v>
      </c>
    </row>
    <row r="170" spans="1:9" s="11" customFormat="1" ht="15.75" customHeight="1">
      <c r="A170" s="51" t="s">
        <v>1</v>
      </c>
      <c r="B170" s="52" t="s">
        <v>2</v>
      </c>
      <c r="C170" s="52" t="s">
        <v>31</v>
      </c>
      <c r="D170" s="53" t="s">
        <v>32</v>
      </c>
      <c r="E170" s="54" t="s">
        <v>33</v>
      </c>
      <c r="F170" s="55" t="s">
        <v>4</v>
      </c>
      <c r="G170" s="56" t="s">
        <v>33</v>
      </c>
      <c r="H170" s="57"/>
      <c r="I170" s="53" t="s">
        <v>71</v>
      </c>
    </row>
    <row r="171" spans="1:9" s="11" customFormat="1" ht="28.5">
      <c r="A171" s="58" t="s">
        <v>7</v>
      </c>
      <c r="B171" s="59" t="s">
        <v>38</v>
      </c>
      <c r="C171" s="58" t="s">
        <v>79</v>
      </c>
      <c r="D171" s="70">
        <f>D172*0.2</f>
        <v>0.24</v>
      </c>
      <c r="E171" s="60"/>
      <c r="F171" s="86">
        <v>108.39</v>
      </c>
      <c r="G171" s="61" t="s">
        <v>64</v>
      </c>
      <c r="H171" s="62">
        <v>90778</v>
      </c>
      <c r="I171" s="83">
        <f>TRUNC(D171*F171,4)</f>
        <v>26.0136</v>
      </c>
    </row>
    <row r="172" spans="1:9" s="11" customFormat="1" ht="28.5">
      <c r="A172" s="58" t="s">
        <v>9</v>
      </c>
      <c r="B172" s="59" t="s">
        <v>138</v>
      </c>
      <c r="C172" s="58" t="s">
        <v>79</v>
      </c>
      <c r="D172" s="70">
        <v>1.2</v>
      </c>
      <c r="E172" s="60"/>
      <c r="F172" s="86">
        <v>30.57</v>
      </c>
      <c r="G172" s="61" t="s">
        <v>64</v>
      </c>
      <c r="H172" s="62">
        <v>88321</v>
      </c>
      <c r="I172" s="83">
        <f>TRUNC(D172*F172,4)</f>
        <v>36.684</v>
      </c>
    </row>
    <row r="173" spans="1:9" s="11" customFormat="1" ht="28.5">
      <c r="A173" s="58" t="s">
        <v>46</v>
      </c>
      <c r="B173" s="59" t="s">
        <v>137</v>
      </c>
      <c r="C173" s="58" t="s">
        <v>79</v>
      </c>
      <c r="D173" s="70">
        <f>D172</f>
        <v>1.2</v>
      </c>
      <c r="E173" s="60"/>
      <c r="F173" s="86">
        <v>30.51</v>
      </c>
      <c r="G173" s="61" t="s">
        <v>64</v>
      </c>
      <c r="H173" s="62">
        <v>88249</v>
      </c>
      <c r="I173" s="83">
        <f>TRUNC(D173*F173,4)</f>
        <v>36.612</v>
      </c>
    </row>
    <row r="174" spans="1:9" s="11" customFormat="1" ht="15">
      <c r="A174" s="58">
        <v>2</v>
      </c>
      <c r="B174" s="59" t="s">
        <v>55</v>
      </c>
      <c r="C174" s="58" t="s">
        <v>34</v>
      </c>
      <c r="D174" s="70">
        <f>ROUND(D171*0.5,4)</f>
        <v>0.12</v>
      </c>
      <c r="E174" s="60"/>
      <c r="F174" s="86">
        <f>TRUNC(32.3013*(1+Orcamento!$E$108),4)</f>
        <v>32.9667</v>
      </c>
      <c r="G174" s="61" t="s">
        <v>62</v>
      </c>
      <c r="H174" s="62" t="s">
        <v>63</v>
      </c>
      <c r="I174" s="83">
        <f>TRUNC(D174*F174,4)</f>
        <v>3.956</v>
      </c>
    </row>
    <row r="175" spans="1:9" s="11" customFormat="1" ht="15">
      <c r="A175" s="8"/>
      <c r="B175" s="5"/>
      <c r="C175" s="9"/>
      <c r="D175" s="9"/>
      <c r="E175" s="9"/>
      <c r="I175" s="8"/>
    </row>
    <row r="176" spans="2:5" s="11" customFormat="1" ht="15">
      <c r="B176" s="6"/>
      <c r="C176" s="7"/>
      <c r="D176" s="7"/>
      <c r="E176" s="7"/>
    </row>
    <row r="177" spans="1:9" s="11" customFormat="1" ht="15">
      <c r="A177" s="46" t="s">
        <v>29</v>
      </c>
      <c r="B177" s="46" t="s">
        <v>30</v>
      </c>
      <c r="C177" s="47"/>
      <c r="D177" s="47"/>
      <c r="E177" s="47"/>
      <c r="F177" s="47"/>
      <c r="G177" s="48"/>
      <c r="H177" s="45" t="s">
        <v>70</v>
      </c>
      <c r="I177" s="45" t="s">
        <v>69</v>
      </c>
    </row>
    <row r="178" spans="1:9" s="11" customFormat="1" ht="15">
      <c r="A178" s="49" t="s">
        <v>373</v>
      </c>
      <c r="B178" s="120" t="s">
        <v>345</v>
      </c>
      <c r="C178" s="121"/>
      <c r="D178" s="121"/>
      <c r="E178" s="121"/>
      <c r="F178" s="121"/>
      <c r="G178" s="122"/>
      <c r="H178" s="123" t="s">
        <v>10</v>
      </c>
      <c r="I178" s="124">
        <f>TRUNC(SUM(I180:I183),2)</f>
        <v>154.89</v>
      </c>
    </row>
    <row r="179" spans="1:9" s="11" customFormat="1" ht="15.75" customHeight="1">
      <c r="A179" s="51" t="s">
        <v>1</v>
      </c>
      <c r="B179" s="52" t="s">
        <v>2</v>
      </c>
      <c r="C179" s="52" t="s">
        <v>31</v>
      </c>
      <c r="D179" s="53" t="s">
        <v>32</v>
      </c>
      <c r="E179" s="54" t="s">
        <v>33</v>
      </c>
      <c r="F179" s="55" t="s">
        <v>4</v>
      </c>
      <c r="G179" s="56" t="s">
        <v>33</v>
      </c>
      <c r="H179" s="57"/>
      <c r="I179" s="53" t="s">
        <v>71</v>
      </c>
    </row>
    <row r="180" spans="1:9" s="11" customFormat="1" ht="28.5">
      <c r="A180" s="58" t="s">
        <v>7</v>
      </c>
      <c r="B180" s="59" t="s">
        <v>38</v>
      </c>
      <c r="C180" s="58" t="s">
        <v>79</v>
      </c>
      <c r="D180" s="70">
        <f>D181*0.2</f>
        <v>0.36000000000000004</v>
      </c>
      <c r="E180" s="60"/>
      <c r="F180" s="86">
        <v>108.39</v>
      </c>
      <c r="G180" s="61" t="s">
        <v>64</v>
      </c>
      <c r="H180" s="62">
        <v>90778</v>
      </c>
      <c r="I180" s="83">
        <f>TRUNC(D180*F180,4)</f>
        <v>39.0204</v>
      </c>
    </row>
    <row r="181" spans="1:9" s="11" customFormat="1" ht="28.5">
      <c r="A181" s="58" t="s">
        <v>9</v>
      </c>
      <c r="B181" s="59" t="s">
        <v>138</v>
      </c>
      <c r="C181" s="58" t="s">
        <v>79</v>
      </c>
      <c r="D181" s="70">
        <v>1.8</v>
      </c>
      <c r="E181" s="60"/>
      <c r="F181" s="86">
        <v>30.57</v>
      </c>
      <c r="G181" s="61" t="s">
        <v>64</v>
      </c>
      <c r="H181" s="62">
        <v>88321</v>
      </c>
      <c r="I181" s="83">
        <f>TRUNC(D181*F181,4)</f>
        <v>55.026</v>
      </c>
    </row>
    <row r="182" spans="1:9" s="11" customFormat="1" ht="28.5">
      <c r="A182" s="58" t="s">
        <v>46</v>
      </c>
      <c r="B182" s="59" t="s">
        <v>137</v>
      </c>
      <c r="C182" s="58" t="s">
        <v>79</v>
      </c>
      <c r="D182" s="70">
        <f>D181</f>
        <v>1.8</v>
      </c>
      <c r="E182" s="60"/>
      <c r="F182" s="86">
        <v>30.51</v>
      </c>
      <c r="G182" s="61" t="s">
        <v>64</v>
      </c>
      <c r="H182" s="62">
        <v>88249</v>
      </c>
      <c r="I182" s="83">
        <f>TRUNC(D182*F182,4)</f>
        <v>54.918</v>
      </c>
    </row>
    <row r="183" spans="1:9" s="11" customFormat="1" ht="15">
      <c r="A183" s="58">
        <v>2</v>
      </c>
      <c r="B183" s="59" t="s">
        <v>55</v>
      </c>
      <c r="C183" s="58" t="s">
        <v>34</v>
      </c>
      <c r="D183" s="70">
        <f>ROUND(D180*0.5,4)</f>
        <v>0.18</v>
      </c>
      <c r="E183" s="60"/>
      <c r="F183" s="86">
        <f>TRUNC(32.3013*(1+Orcamento!$E$108),4)</f>
        <v>32.9667</v>
      </c>
      <c r="G183" s="61" t="s">
        <v>62</v>
      </c>
      <c r="H183" s="62" t="s">
        <v>63</v>
      </c>
      <c r="I183" s="83">
        <f>TRUNC(D183*F183,4)</f>
        <v>5.934</v>
      </c>
    </row>
    <row r="184" spans="1:9" s="11" customFormat="1" ht="15">
      <c r="A184" s="8"/>
      <c r="B184" s="5"/>
      <c r="C184" s="9"/>
      <c r="D184" s="9"/>
      <c r="E184" s="9"/>
      <c r="I184" s="8"/>
    </row>
    <row r="185" spans="2:5" s="11" customFormat="1" ht="15">
      <c r="B185" s="6"/>
      <c r="C185" s="7"/>
      <c r="D185" s="7"/>
      <c r="E185" s="7"/>
    </row>
    <row r="186" spans="1:9" s="11" customFormat="1" ht="15">
      <c r="A186" s="46" t="s">
        <v>29</v>
      </c>
      <c r="B186" s="46" t="s">
        <v>30</v>
      </c>
      <c r="C186" s="47"/>
      <c r="D186" s="47"/>
      <c r="E186" s="47"/>
      <c r="F186" s="47"/>
      <c r="G186" s="48"/>
      <c r="H186" s="45" t="s">
        <v>70</v>
      </c>
      <c r="I186" s="45" t="s">
        <v>69</v>
      </c>
    </row>
    <row r="187" spans="1:9" s="11" customFormat="1" ht="15">
      <c r="A187" s="49" t="s">
        <v>374</v>
      </c>
      <c r="B187" s="120" t="s">
        <v>353</v>
      </c>
      <c r="C187" s="121"/>
      <c r="D187" s="121"/>
      <c r="E187" s="121"/>
      <c r="F187" s="121"/>
      <c r="G187" s="122"/>
      <c r="H187" s="123" t="s">
        <v>10</v>
      </c>
      <c r="I187" s="124">
        <f>TRUNC(SUM(I189:I192),2)</f>
        <v>258.16</v>
      </c>
    </row>
    <row r="188" spans="1:9" s="11" customFormat="1" ht="15.75" customHeight="1">
      <c r="A188" s="51" t="s">
        <v>1</v>
      </c>
      <c r="B188" s="52" t="s">
        <v>2</v>
      </c>
      <c r="C188" s="52" t="s">
        <v>31</v>
      </c>
      <c r="D188" s="53" t="s">
        <v>32</v>
      </c>
      <c r="E188" s="54" t="s">
        <v>33</v>
      </c>
      <c r="F188" s="55" t="s">
        <v>4</v>
      </c>
      <c r="G188" s="56" t="s">
        <v>33</v>
      </c>
      <c r="H188" s="57"/>
      <c r="I188" s="53" t="s">
        <v>71</v>
      </c>
    </row>
    <row r="189" spans="1:9" s="11" customFormat="1" ht="28.5">
      <c r="A189" s="58" t="s">
        <v>7</v>
      </c>
      <c r="B189" s="59" t="s">
        <v>38</v>
      </c>
      <c r="C189" s="58" t="s">
        <v>79</v>
      </c>
      <c r="D189" s="70">
        <f>D190*0.2</f>
        <v>0.6000000000000001</v>
      </c>
      <c r="E189" s="60"/>
      <c r="F189" s="86">
        <v>108.39</v>
      </c>
      <c r="G189" s="61" t="s">
        <v>64</v>
      </c>
      <c r="H189" s="62">
        <v>90778</v>
      </c>
      <c r="I189" s="83">
        <f>TRUNC(D189*F189,4)</f>
        <v>65.034</v>
      </c>
    </row>
    <row r="190" spans="1:9" s="11" customFormat="1" ht="28.5">
      <c r="A190" s="58" t="s">
        <v>9</v>
      </c>
      <c r="B190" s="59" t="s">
        <v>138</v>
      </c>
      <c r="C190" s="58" t="s">
        <v>79</v>
      </c>
      <c r="D190" s="70">
        <v>3</v>
      </c>
      <c r="E190" s="60"/>
      <c r="F190" s="86">
        <v>30.57</v>
      </c>
      <c r="G190" s="61" t="s">
        <v>64</v>
      </c>
      <c r="H190" s="62">
        <v>88321</v>
      </c>
      <c r="I190" s="83">
        <f>TRUNC(D190*F190,4)</f>
        <v>91.71</v>
      </c>
    </row>
    <row r="191" spans="1:9" s="11" customFormat="1" ht="28.5">
      <c r="A191" s="58" t="s">
        <v>46</v>
      </c>
      <c r="B191" s="59" t="s">
        <v>137</v>
      </c>
      <c r="C191" s="58" t="s">
        <v>79</v>
      </c>
      <c r="D191" s="70">
        <f>D190</f>
        <v>3</v>
      </c>
      <c r="E191" s="60"/>
      <c r="F191" s="86">
        <v>30.51</v>
      </c>
      <c r="G191" s="61" t="s">
        <v>64</v>
      </c>
      <c r="H191" s="62">
        <v>88249</v>
      </c>
      <c r="I191" s="83">
        <f>TRUNC(D191*F191,4)</f>
        <v>91.53</v>
      </c>
    </row>
    <row r="192" spans="1:9" s="11" customFormat="1" ht="15">
      <c r="A192" s="58">
        <v>2</v>
      </c>
      <c r="B192" s="59" t="s">
        <v>55</v>
      </c>
      <c r="C192" s="58" t="s">
        <v>34</v>
      </c>
      <c r="D192" s="70">
        <f>ROUND(D189*0.5,4)</f>
        <v>0.3</v>
      </c>
      <c r="E192" s="60"/>
      <c r="F192" s="86">
        <f>TRUNC(32.3013*(1+Orcamento!$E$108),4)</f>
        <v>32.9667</v>
      </c>
      <c r="G192" s="61" t="s">
        <v>62</v>
      </c>
      <c r="H192" s="62" t="s">
        <v>63</v>
      </c>
      <c r="I192" s="83">
        <f>TRUNC(D192*F192,4)</f>
        <v>9.89</v>
      </c>
    </row>
    <row r="193" spans="1:9" s="11" customFormat="1" ht="15">
      <c r="A193" s="8"/>
      <c r="B193" s="5"/>
      <c r="C193" s="9"/>
      <c r="D193" s="9"/>
      <c r="E193" s="9"/>
      <c r="I193" s="8"/>
    </row>
    <row r="194" spans="2:5" s="11" customFormat="1" ht="15">
      <c r="B194" s="6"/>
      <c r="C194" s="7"/>
      <c r="D194" s="7"/>
      <c r="E194" s="7"/>
    </row>
    <row r="195" spans="1:9" s="11" customFormat="1" ht="15">
      <c r="A195" s="46" t="s">
        <v>29</v>
      </c>
      <c r="B195" s="46" t="s">
        <v>30</v>
      </c>
      <c r="C195" s="47"/>
      <c r="D195" s="47"/>
      <c r="E195" s="47"/>
      <c r="F195" s="47"/>
      <c r="G195" s="48"/>
      <c r="H195" s="45" t="s">
        <v>70</v>
      </c>
      <c r="I195" s="45" t="s">
        <v>69</v>
      </c>
    </row>
    <row r="196" spans="1:9" s="11" customFormat="1" ht="15">
      <c r="A196" s="49" t="s">
        <v>375</v>
      </c>
      <c r="B196" s="120" t="s">
        <v>350</v>
      </c>
      <c r="C196" s="121"/>
      <c r="D196" s="121"/>
      <c r="E196" s="121"/>
      <c r="F196" s="121"/>
      <c r="G196" s="122"/>
      <c r="H196" s="123" t="s">
        <v>10</v>
      </c>
      <c r="I196" s="124">
        <f>TRUNC(SUM(I198:I201),2)</f>
        <v>172.1</v>
      </c>
    </row>
    <row r="197" spans="1:9" s="11" customFormat="1" ht="15.75" customHeight="1">
      <c r="A197" s="51" t="s">
        <v>1</v>
      </c>
      <c r="B197" s="52" t="s">
        <v>2</v>
      </c>
      <c r="C197" s="52" t="s">
        <v>31</v>
      </c>
      <c r="D197" s="53" t="s">
        <v>32</v>
      </c>
      <c r="E197" s="54" t="s">
        <v>33</v>
      </c>
      <c r="F197" s="55" t="s">
        <v>4</v>
      </c>
      <c r="G197" s="56" t="s">
        <v>33</v>
      </c>
      <c r="H197" s="57"/>
      <c r="I197" s="53" t="s">
        <v>71</v>
      </c>
    </row>
    <row r="198" spans="1:9" s="11" customFormat="1" ht="28.5">
      <c r="A198" s="58" t="s">
        <v>7</v>
      </c>
      <c r="B198" s="59" t="s">
        <v>38</v>
      </c>
      <c r="C198" s="58" t="s">
        <v>79</v>
      </c>
      <c r="D198" s="70">
        <f>D199*0.2</f>
        <v>0.4</v>
      </c>
      <c r="E198" s="60"/>
      <c r="F198" s="86">
        <v>108.39</v>
      </c>
      <c r="G198" s="61" t="s">
        <v>64</v>
      </c>
      <c r="H198" s="62">
        <v>90778</v>
      </c>
      <c r="I198" s="83">
        <f>TRUNC(D198*F198,4)</f>
        <v>43.356</v>
      </c>
    </row>
    <row r="199" spans="1:9" s="11" customFormat="1" ht="28.5">
      <c r="A199" s="58" t="s">
        <v>9</v>
      </c>
      <c r="B199" s="59" t="s">
        <v>138</v>
      </c>
      <c r="C199" s="58" t="s">
        <v>79</v>
      </c>
      <c r="D199" s="70">
        <v>2</v>
      </c>
      <c r="E199" s="60"/>
      <c r="F199" s="86">
        <v>30.57</v>
      </c>
      <c r="G199" s="61" t="s">
        <v>64</v>
      </c>
      <c r="H199" s="62">
        <v>88321</v>
      </c>
      <c r="I199" s="83">
        <f>TRUNC(D199*F199,4)</f>
        <v>61.14</v>
      </c>
    </row>
    <row r="200" spans="1:9" s="11" customFormat="1" ht="28.5">
      <c r="A200" s="58" t="s">
        <v>46</v>
      </c>
      <c r="B200" s="59" t="s">
        <v>137</v>
      </c>
      <c r="C200" s="58" t="s">
        <v>79</v>
      </c>
      <c r="D200" s="70">
        <f>D199</f>
        <v>2</v>
      </c>
      <c r="E200" s="60"/>
      <c r="F200" s="86">
        <v>30.51</v>
      </c>
      <c r="G200" s="61" t="s">
        <v>64</v>
      </c>
      <c r="H200" s="62">
        <v>88249</v>
      </c>
      <c r="I200" s="83">
        <f>TRUNC(D200*F200,4)</f>
        <v>61.02</v>
      </c>
    </row>
    <row r="201" spans="1:9" s="11" customFormat="1" ht="15">
      <c r="A201" s="58">
        <v>2</v>
      </c>
      <c r="B201" s="59" t="s">
        <v>55</v>
      </c>
      <c r="C201" s="58" t="s">
        <v>34</v>
      </c>
      <c r="D201" s="70">
        <f>ROUND(D198*0.5,4)</f>
        <v>0.2</v>
      </c>
      <c r="E201" s="60"/>
      <c r="F201" s="86">
        <f>TRUNC(32.3013*(1+Orcamento!$E$108),4)</f>
        <v>32.9667</v>
      </c>
      <c r="G201" s="61" t="s">
        <v>62</v>
      </c>
      <c r="H201" s="62" t="s">
        <v>63</v>
      </c>
      <c r="I201" s="83">
        <f>TRUNC(D201*F201,4)</f>
        <v>6.5933</v>
      </c>
    </row>
    <row r="202" spans="1:9" s="11" customFormat="1" ht="15">
      <c r="A202" s="8"/>
      <c r="B202" s="5"/>
      <c r="C202" s="9"/>
      <c r="D202" s="9"/>
      <c r="E202" s="9"/>
      <c r="I202" s="8"/>
    </row>
    <row r="203" spans="2:5" s="11" customFormat="1" ht="15">
      <c r="B203" s="6"/>
      <c r="C203" s="7"/>
      <c r="D203" s="7"/>
      <c r="E203" s="7"/>
    </row>
    <row r="204" spans="1:9" s="11" customFormat="1" ht="15">
      <c r="A204" s="46" t="s">
        <v>29</v>
      </c>
      <c r="B204" s="46" t="s">
        <v>30</v>
      </c>
      <c r="C204" s="47"/>
      <c r="D204" s="47"/>
      <c r="E204" s="47"/>
      <c r="F204" s="47"/>
      <c r="G204" s="48"/>
      <c r="H204" s="45" t="s">
        <v>70</v>
      </c>
      <c r="I204" s="45" t="s">
        <v>69</v>
      </c>
    </row>
    <row r="205" spans="1:9" s="11" customFormat="1" ht="15">
      <c r="A205" s="49" t="s">
        <v>376</v>
      </c>
      <c r="B205" s="120" t="s">
        <v>351</v>
      </c>
      <c r="C205" s="121"/>
      <c r="D205" s="121"/>
      <c r="E205" s="121"/>
      <c r="F205" s="121"/>
      <c r="G205" s="122"/>
      <c r="H205" s="123" t="s">
        <v>10</v>
      </c>
      <c r="I205" s="124">
        <f>TRUNC(SUM(I207:I210),2)</f>
        <v>172.1</v>
      </c>
    </row>
    <row r="206" spans="1:9" s="11" customFormat="1" ht="15.75" customHeight="1">
      <c r="A206" s="51" t="s">
        <v>1</v>
      </c>
      <c r="B206" s="52" t="s">
        <v>2</v>
      </c>
      <c r="C206" s="52" t="s">
        <v>31</v>
      </c>
      <c r="D206" s="53" t="s">
        <v>32</v>
      </c>
      <c r="E206" s="54" t="s">
        <v>33</v>
      </c>
      <c r="F206" s="55" t="s">
        <v>4</v>
      </c>
      <c r="G206" s="56" t="s">
        <v>33</v>
      </c>
      <c r="H206" s="57"/>
      <c r="I206" s="53" t="s">
        <v>71</v>
      </c>
    </row>
    <row r="207" spans="1:9" s="11" customFormat="1" ht="28.5">
      <c r="A207" s="58" t="s">
        <v>7</v>
      </c>
      <c r="B207" s="59" t="s">
        <v>38</v>
      </c>
      <c r="C207" s="58" t="s">
        <v>79</v>
      </c>
      <c r="D207" s="70">
        <f>D208*0.2</f>
        <v>0.4</v>
      </c>
      <c r="E207" s="60"/>
      <c r="F207" s="86">
        <v>108.39</v>
      </c>
      <c r="G207" s="61" t="s">
        <v>64</v>
      </c>
      <c r="H207" s="62">
        <v>90778</v>
      </c>
      <c r="I207" s="83">
        <f>TRUNC(D207*F207,4)</f>
        <v>43.356</v>
      </c>
    </row>
    <row r="208" spans="1:9" s="11" customFormat="1" ht="28.5">
      <c r="A208" s="58" t="s">
        <v>9</v>
      </c>
      <c r="B208" s="59" t="s">
        <v>138</v>
      </c>
      <c r="C208" s="58" t="s">
        <v>79</v>
      </c>
      <c r="D208" s="70">
        <v>2</v>
      </c>
      <c r="E208" s="60"/>
      <c r="F208" s="86">
        <v>30.57</v>
      </c>
      <c r="G208" s="61" t="s">
        <v>64</v>
      </c>
      <c r="H208" s="62">
        <v>88321</v>
      </c>
      <c r="I208" s="83">
        <f>TRUNC(D208*F208,4)</f>
        <v>61.14</v>
      </c>
    </row>
    <row r="209" spans="1:9" s="11" customFormat="1" ht="28.5">
      <c r="A209" s="58" t="s">
        <v>46</v>
      </c>
      <c r="B209" s="59" t="s">
        <v>137</v>
      </c>
      <c r="C209" s="58" t="s">
        <v>79</v>
      </c>
      <c r="D209" s="70">
        <f>D208</f>
        <v>2</v>
      </c>
      <c r="E209" s="60"/>
      <c r="F209" s="86">
        <v>30.51</v>
      </c>
      <c r="G209" s="61" t="s">
        <v>64</v>
      </c>
      <c r="H209" s="62">
        <v>88249</v>
      </c>
      <c r="I209" s="83">
        <f>TRUNC(D209*F209,4)</f>
        <v>61.02</v>
      </c>
    </row>
    <row r="210" spans="1:9" s="11" customFormat="1" ht="15">
      <c r="A210" s="58">
        <v>2</v>
      </c>
      <c r="B210" s="59" t="s">
        <v>55</v>
      </c>
      <c r="C210" s="58" t="s">
        <v>34</v>
      </c>
      <c r="D210" s="70">
        <f>ROUND(D207*0.5,4)</f>
        <v>0.2</v>
      </c>
      <c r="E210" s="60"/>
      <c r="F210" s="86">
        <f>TRUNC(32.3013*(1+Orcamento!$E$108),4)</f>
        <v>32.9667</v>
      </c>
      <c r="G210" s="61" t="s">
        <v>62</v>
      </c>
      <c r="H210" s="62" t="s">
        <v>63</v>
      </c>
      <c r="I210" s="83">
        <f>TRUNC(D210*F210,4)</f>
        <v>6.5933</v>
      </c>
    </row>
    <row r="211" spans="1:9" s="11" customFormat="1" ht="15">
      <c r="A211" s="8"/>
      <c r="B211" s="5"/>
      <c r="C211" s="9"/>
      <c r="D211" s="9"/>
      <c r="E211" s="9"/>
      <c r="I211" s="8"/>
    </row>
    <row r="212" spans="2:5" s="11" customFormat="1" ht="15">
      <c r="B212" s="6"/>
      <c r="C212" s="7"/>
      <c r="D212" s="7"/>
      <c r="E212" s="7"/>
    </row>
    <row r="213" spans="1:9" s="11" customFormat="1" ht="15">
      <c r="A213" s="46" t="s">
        <v>29</v>
      </c>
      <c r="B213" s="46" t="s">
        <v>30</v>
      </c>
      <c r="C213" s="47"/>
      <c r="D213" s="47"/>
      <c r="E213" s="47"/>
      <c r="F213" s="47"/>
      <c r="G213" s="48"/>
      <c r="H213" s="45" t="s">
        <v>70</v>
      </c>
      <c r="I213" s="45" t="s">
        <v>69</v>
      </c>
    </row>
    <row r="214" spans="1:9" s="11" customFormat="1" ht="15">
      <c r="A214" s="49" t="s">
        <v>377</v>
      </c>
      <c r="B214" s="120" t="s">
        <v>349</v>
      </c>
      <c r="C214" s="121"/>
      <c r="D214" s="121"/>
      <c r="E214" s="121"/>
      <c r="F214" s="121"/>
      <c r="G214" s="122"/>
      <c r="H214" s="123" t="s">
        <v>10</v>
      </c>
      <c r="I214" s="124">
        <f>TRUNC(SUM(I216:I220),2)</f>
        <v>330.14</v>
      </c>
    </row>
    <row r="215" spans="1:9" s="11" customFormat="1" ht="15.75" customHeight="1">
      <c r="A215" s="51" t="s">
        <v>1</v>
      </c>
      <c r="B215" s="52" t="s">
        <v>2</v>
      </c>
      <c r="C215" s="52" t="s">
        <v>31</v>
      </c>
      <c r="D215" s="53" t="s">
        <v>32</v>
      </c>
      <c r="E215" s="54" t="s">
        <v>33</v>
      </c>
      <c r="F215" s="55" t="s">
        <v>4</v>
      </c>
      <c r="G215" s="56" t="s">
        <v>33</v>
      </c>
      <c r="H215" s="57"/>
      <c r="I215" s="53" t="s">
        <v>71</v>
      </c>
    </row>
    <row r="216" spans="1:9" s="11" customFormat="1" ht="28.5">
      <c r="A216" s="58">
        <v>1</v>
      </c>
      <c r="B216" s="59" t="s">
        <v>382</v>
      </c>
      <c r="C216" s="58" t="s">
        <v>95</v>
      </c>
      <c r="D216" s="70">
        <v>1</v>
      </c>
      <c r="E216" s="60"/>
      <c r="F216" s="86">
        <v>120.33</v>
      </c>
      <c r="G216" s="61" t="s">
        <v>64</v>
      </c>
      <c r="H216" s="62">
        <v>90441</v>
      </c>
      <c r="I216" s="83">
        <f>TRUNC(D216*F216,4)</f>
        <v>120.33</v>
      </c>
    </row>
    <row r="217" spans="1:9" s="11" customFormat="1" ht="28.5">
      <c r="A217" s="58" t="s">
        <v>11</v>
      </c>
      <c r="B217" s="59" t="s">
        <v>38</v>
      </c>
      <c r="C217" s="58" t="s">
        <v>79</v>
      </c>
      <c r="D217" s="70">
        <f>D218*0.2</f>
        <v>0.36000000000000004</v>
      </c>
      <c r="E217" s="60"/>
      <c r="F217" s="86">
        <v>108.39</v>
      </c>
      <c r="G217" s="61" t="s">
        <v>64</v>
      </c>
      <c r="H217" s="62">
        <v>90778</v>
      </c>
      <c r="I217" s="83">
        <f>TRUNC(D217*F217,4)</f>
        <v>39.0204</v>
      </c>
    </row>
    <row r="218" spans="1:9" s="11" customFormat="1" ht="28.5">
      <c r="A218" s="58" t="s">
        <v>13</v>
      </c>
      <c r="B218" s="59" t="s">
        <v>138</v>
      </c>
      <c r="C218" s="58" t="s">
        <v>79</v>
      </c>
      <c r="D218" s="70">
        <v>1.8</v>
      </c>
      <c r="E218" s="60" t="s">
        <v>383</v>
      </c>
      <c r="F218" s="86">
        <v>30.57</v>
      </c>
      <c r="G218" s="61" t="s">
        <v>64</v>
      </c>
      <c r="H218" s="62">
        <v>88321</v>
      </c>
      <c r="I218" s="83">
        <f>TRUNC(D218*F218,4)</f>
        <v>55.026</v>
      </c>
    </row>
    <row r="219" spans="1:9" s="11" customFormat="1" ht="28.5">
      <c r="A219" s="58" t="s">
        <v>291</v>
      </c>
      <c r="B219" s="59" t="s">
        <v>137</v>
      </c>
      <c r="C219" s="58" t="s">
        <v>79</v>
      </c>
      <c r="D219" s="70">
        <v>3.6</v>
      </c>
      <c r="E219" s="60" t="s">
        <v>383</v>
      </c>
      <c r="F219" s="86">
        <v>30.51</v>
      </c>
      <c r="G219" s="61" t="s">
        <v>64</v>
      </c>
      <c r="H219" s="62">
        <v>88249</v>
      </c>
      <c r="I219" s="83">
        <f>TRUNC(D219*F219,4)</f>
        <v>109.836</v>
      </c>
    </row>
    <row r="220" spans="1:9" s="11" customFormat="1" ht="15">
      <c r="A220" s="58">
        <v>3</v>
      </c>
      <c r="B220" s="59" t="s">
        <v>55</v>
      </c>
      <c r="C220" s="58" t="s">
        <v>34</v>
      </c>
      <c r="D220" s="70">
        <f>ROUND(D217*0.5,4)</f>
        <v>0.18</v>
      </c>
      <c r="E220" s="60"/>
      <c r="F220" s="86">
        <f>TRUNC(32.3013*(1+Orcamento!$E$108),4)</f>
        <v>32.9667</v>
      </c>
      <c r="G220" s="61" t="s">
        <v>62</v>
      </c>
      <c r="H220" s="62" t="s">
        <v>63</v>
      </c>
      <c r="I220" s="83">
        <f>TRUNC(D220*F220,4)</f>
        <v>5.934</v>
      </c>
    </row>
    <row r="221" spans="1:9" s="11" customFormat="1" ht="15">
      <c r="A221" s="8"/>
      <c r="B221" s="5"/>
      <c r="C221" s="9"/>
      <c r="D221" s="9"/>
      <c r="E221" s="9"/>
      <c r="I221" s="8"/>
    </row>
    <row r="222" spans="2:5" s="11" customFormat="1" ht="15">
      <c r="B222" s="6"/>
      <c r="C222" s="7"/>
      <c r="D222" s="7"/>
      <c r="E222" s="7"/>
    </row>
    <row r="223" spans="1:9" s="11" customFormat="1" ht="15">
      <c r="A223" s="46" t="s">
        <v>29</v>
      </c>
      <c r="B223" s="46" t="s">
        <v>30</v>
      </c>
      <c r="C223" s="47"/>
      <c r="D223" s="47"/>
      <c r="E223" s="47"/>
      <c r="F223" s="47"/>
      <c r="G223" s="48"/>
      <c r="H223" s="45" t="s">
        <v>70</v>
      </c>
      <c r="I223" s="45" t="s">
        <v>69</v>
      </c>
    </row>
    <row r="224" spans="1:9" s="11" customFormat="1" ht="15">
      <c r="A224" s="49" t="s">
        <v>378</v>
      </c>
      <c r="B224" s="120" t="s">
        <v>352</v>
      </c>
      <c r="C224" s="121"/>
      <c r="D224" s="121"/>
      <c r="E224" s="121"/>
      <c r="F224" s="121"/>
      <c r="G224" s="122"/>
      <c r="H224" s="123" t="s">
        <v>10</v>
      </c>
      <c r="I224" s="124">
        <f>TRUNC(SUM(I226:I229),2)</f>
        <v>172.1</v>
      </c>
    </row>
    <row r="225" spans="1:9" s="11" customFormat="1" ht="15.75" customHeight="1">
      <c r="A225" s="51" t="s">
        <v>1</v>
      </c>
      <c r="B225" s="52" t="s">
        <v>2</v>
      </c>
      <c r="C225" s="52" t="s">
        <v>31</v>
      </c>
      <c r="D225" s="53" t="s">
        <v>32</v>
      </c>
      <c r="E225" s="54" t="s">
        <v>33</v>
      </c>
      <c r="F225" s="55" t="s">
        <v>4</v>
      </c>
      <c r="G225" s="56" t="s">
        <v>33</v>
      </c>
      <c r="H225" s="57"/>
      <c r="I225" s="53" t="s">
        <v>71</v>
      </c>
    </row>
    <row r="226" spans="1:9" s="11" customFormat="1" ht="28.5">
      <c r="A226" s="58" t="s">
        <v>7</v>
      </c>
      <c r="B226" s="59" t="s">
        <v>38</v>
      </c>
      <c r="C226" s="58" t="s">
        <v>79</v>
      </c>
      <c r="D226" s="70">
        <f>D227*0.2</f>
        <v>0.4</v>
      </c>
      <c r="E226" s="60"/>
      <c r="F226" s="86">
        <v>108.39</v>
      </c>
      <c r="G226" s="61" t="s">
        <v>64</v>
      </c>
      <c r="H226" s="62">
        <v>90778</v>
      </c>
      <c r="I226" s="83">
        <f>TRUNC(D226*F226,4)</f>
        <v>43.356</v>
      </c>
    </row>
    <row r="227" spans="1:9" s="11" customFormat="1" ht="28.5">
      <c r="A227" s="58" t="s">
        <v>9</v>
      </c>
      <c r="B227" s="59" t="s">
        <v>138</v>
      </c>
      <c r="C227" s="58" t="s">
        <v>79</v>
      </c>
      <c r="D227" s="70">
        <v>2</v>
      </c>
      <c r="E227" s="60"/>
      <c r="F227" s="86">
        <v>30.57</v>
      </c>
      <c r="G227" s="61" t="s">
        <v>64</v>
      </c>
      <c r="H227" s="62">
        <v>88321</v>
      </c>
      <c r="I227" s="83">
        <f>TRUNC(D227*F227,4)</f>
        <v>61.14</v>
      </c>
    </row>
    <row r="228" spans="1:9" s="11" customFormat="1" ht="28.5">
      <c r="A228" s="58" t="s">
        <v>46</v>
      </c>
      <c r="B228" s="59" t="s">
        <v>137</v>
      </c>
      <c r="C228" s="58" t="s">
        <v>79</v>
      </c>
      <c r="D228" s="70">
        <f>D227</f>
        <v>2</v>
      </c>
      <c r="E228" s="60"/>
      <c r="F228" s="86">
        <v>30.51</v>
      </c>
      <c r="G228" s="61" t="s">
        <v>64</v>
      </c>
      <c r="H228" s="62">
        <v>88249</v>
      </c>
      <c r="I228" s="83">
        <f>TRUNC(D228*F228,4)</f>
        <v>61.02</v>
      </c>
    </row>
    <row r="229" spans="1:9" s="11" customFormat="1" ht="15">
      <c r="A229" s="58">
        <v>2</v>
      </c>
      <c r="B229" s="59" t="s">
        <v>55</v>
      </c>
      <c r="C229" s="58" t="s">
        <v>34</v>
      </c>
      <c r="D229" s="70">
        <f>ROUND(D226*0.5,4)</f>
        <v>0.2</v>
      </c>
      <c r="E229" s="60"/>
      <c r="F229" s="86">
        <f>TRUNC(32.3013*(1+Orcamento!$E$108),4)</f>
        <v>32.9667</v>
      </c>
      <c r="G229" s="61" t="s">
        <v>62</v>
      </c>
      <c r="H229" s="62" t="s">
        <v>63</v>
      </c>
      <c r="I229" s="83">
        <f>TRUNC(D229*F229,4)</f>
        <v>6.5933</v>
      </c>
    </row>
    <row r="230" spans="1:9" s="11" customFormat="1" ht="15">
      <c r="A230" s="8"/>
      <c r="B230" s="5"/>
      <c r="C230" s="9"/>
      <c r="D230" s="9"/>
      <c r="E230" s="9"/>
      <c r="I230" s="8"/>
    </row>
    <row r="231" spans="2:5" s="11" customFormat="1" ht="15">
      <c r="B231" s="6"/>
      <c r="C231" s="7"/>
      <c r="D231" s="7"/>
      <c r="E231" s="7"/>
    </row>
    <row r="232" spans="1:9" s="11" customFormat="1" ht="15">
      <c r="A232" s="46" t="s">
        <v>29</v>
      </c>
      <c r="B232" s="46" t="s">
        <v>30</v>
      </c>
      <c r="C232" s="47"/>
      <c r="D232" s="47"/>
      <c r="E232" s="47"/>
      <c r="F232" s="47"/>
      <c r="G232" s="48"/>
      <c r="H232" s="45" t="s">
        <v>70</v>
      </c>
      <c r="I232" s="45" t="s">
        <v>69</v>
      </c>
    </row>
    <row r="233" spans="1:9" s="11" customFormat="1" ht="15">
      <c r="A233" s="49" t="s">
        <v>379</v>
      </c>
      <c r="B233" s="120" t="s">
        <v>346</v>
      </c>
      <c r="C233" s="121"/>
      <c r="D233" s="121"/>
      <c r="E233" s="121"/>
      <c r="F233" s="121"/>
      <c r="G233" s="122"/>
      <c r="H233" s="123" t="s">
        <v>10</v>
      </c>
      <c r="I233" s="124">
        <f>TRUNC(SUM(I235:I238),2)</f>
        <v>103.26</v>
      </c>
    </row>
    <row r="234" spans="1:9" s="11" customFormat="1" ht="15.75" customHeight="1">
      <c r="A234" s="51" t="s">
        <v>1</v>
      </c>
      <c r="B234" s="52" t="s">
        <v>2</v>
      </c>
      <c r="C234" s="52" t="s">
        <v>31</v>
      </c>
      <c r="D234" s="53" t="s">
        <v>32</v>
      </c>
      <c r="E234" s="54" t="s">
        <v>33</v>
      </c>
      <c r="F234" s="55" t="s">
        <v>4</v>
      </c>
      <c r="G234" s="56" t="s">
        <v>33</v>
      </c>
      <c r="H234" s="57"/>
      <c r="I234" s="53" t="s">
        <v>71</v>
      </c>
    </row>
    <row r="235" spans="1:9" s="11" customFormat="1" ht="28.5">
      <c r="A235" s="58" t="s">
        <v>7</v>
      </c>
      <c r="B235" s="59" t="s">
        <v>38</v>
      </c>
      <c r="C235" s="58" t="s">
        <v>79</v>
      </c>
      <c r="D235" s="70">
        <f>D236*0.2</f>
        <v>0.24</v>
      </c>
      <c r="E235" s="60"/>
      <c r="F235" s="86">
        <v>108.39</v>
      </c>
      <c r="G235" s="61" t="s">
        <v>64</v>
      </c>
      <c r="H235" s="62">
        <v>90778</v>
      </c>
      <c r="I235" s="83">
        <f>TRUNC(D235*F235,4)</f>
        <v>26.0136</v>
      </c>
    </row>
    <row r="236" spans="1:9" s="11" customFormat="1" ht="28.5">
      <c r="A236" s="58" t="s">
        <v>9</v>
      </c>
      <c r="B236" s="59" t="s">
        <v>138</v>
      </c>
      <c r="C236" s="58" t="s">
        <v>79</v>
      </c>
      <c r="D236" s="70">
        <v>1.2</v>
      </c>
      <c r="E236" s="60"/>
      <c r="F236" s="86">
        <v>30.57</v>
      </c>
      <c r="G236" s="61" t="s">
        <v>64</v>
      </c>
      <c r="H236" s="62">
        <v>88321</v>
      </c>
      <c r="I236" s="83">
        <f>TRUNC(D236*F236,4)</f>
        <v>36.684</v>
      </c>
    </row>
    <row r="237" spans="1:9" s="11" customFormat="1" ht="28.5">
      <c r="A237" s="58" t="s">
        <v>46</v>
      </c>
      <c r="B237" s="59" t="s">
        <v>137</v>
      </c>
      <c r="C237" s="58" t="s">
        <v>79</v>
      </c>
      <c r="D237" s="70">
        <f>D236</f>
        <v>1.2</v>
      </c>
      <c r="E237" s="60"/>
      <c r="F237" s="86">
        <v>30.51</v>
      </c>
      <c r="G237" s="61" t="s">
        <v>64</v>
      </c>
      <c r="H237" s="62">
        <v>88249</v>
      </c>
      <c r="I237" s="83">
        <f>TRUNC(D237*F237,4)</f>
        <v>36.612</v>
      </c>
    </row>
    <row r="238" spans="1:9" s="11" customFormat="1" ht="15">
      <c r="A238" s="58">
        <v>2</v>
      </c>
      <c r="B238" s="59" t="s">
        <v>55</v>
      </c>
      <c r="C238" s="58" t="s">
        <v>34</v>
      </c>
      <c r="D238" s="70">
        <f>ROUND(D235*0.5,4)</f>
        <v>0.12</v>
      </c>
      <c r="E238" s="60"/>
      <c r="F238" s="86">
        <f>TRUNC(32.3013*(1+Orcamento!$E$108),4)</f>
        <v>32.9667</v>
      </c>
      <c r="G238" s="61" t="s">
        <v>62</v>
      </c>
      <c r="H238" s="62" t="s">
        <v>63</v>
      </c>
      <c r="I238" s="83">
        <f>TRUNC(D238*F238,4)</f>
        <v>3.956</v>
      </c>
    </row>
    <row r="239" spans="1:9" s="11" customFormat="1" ht="15">
      <c r="A239" s="8"/>
      <c r="B239" s="5"/>
      <c r="C239" s="9"/>
      <c r="D239" s="9"/>
      <c r="E239" s="9"/>
      <c r="I239" s="8"/>
    </row>
    <row r="240" spans="2:5" s="11" customFormat="1" ht="15">
      <c r="B240" s="6"/>
      <c r="C240" s="7"/>
      <c r="D240" s="7"/>
      <c r="E240" s="7"/>
    </row>
    <row r="241" spans="1:9" s="11" customFormat="1" ht="15">
      <c r="A241" s="46" t="s">
        <v>29</v>
      </c>
      <c r="B241" s="46" t="s">
        <v>30</v>
      </c>
      <c r="C241" s="47"/>
      <c r="D241" s="47"/>
      <c r="E241" s="47"/>
      <c r="F241" s="47"/>
      <c r="G241" s="48"/>
      <c r="H241" s="45" t="s">
        <v>70</v>
      </c>
      <c r="I241" s="45" t="s">
        <v>69</v>
      </c>
    </row>
    <row r="242" spans="1:9" s="11" customFormat="1" ht="15">
      <c r="A242" s="49" t="s">
        <v>380</v>
      </c>
      <c r="B242" s="120" t="s">
        <v>348</v>
      </c>
      <c r="C242" s="121"/>
      <c r="D242" s="121"/>
      <c r="E242" s="121"/>
      <c r="F242" s="121"/>
      <c r="G242" s="122"/>
      <c r="H242" s="123" t="s">
        <v>10</v>
      </c>
      <c r="I242" s="124">
        <f>TRUNC(SUM(I244:I247),2)</f>
        <v>258.16</v>
      </c>
    </row>
    <row r="243" spans="1:9" s="11" customFormat="1" ht="15.75" customHeight="1">
      <c r="A243" s="51" t="s">
        <v>1</v>
      </c>
      <c r="B243" s="52" t="s">
        <v>2</v>
      </c>
      <c r="C243" s="52" t="s">
        <v>31</v>
      </c>
      <c r="D243" s="53" t="s">
        <v>32</v>
      </c>
      <c r="E243" s="54" t="s">
        <v>33</v>
      </c>
      <c r="F243" s="55" t="s">
        <v>4</v>
      </c>
      <c r="G243" s="56" t="s">
        <v>33</v>
      </c>
      <c r="H243" s="57"/>
      <c r="I243" s="53" t="s">
        <v>71</v>
      </c>
    </row>
    <row r="244" spans="1:9" s="11" customFormat="1" ht="28.5">
      <c r="A244" s="58" t="s">
        <v>7</v>
      </c>
      <c r="B244" s="59" t="s">
        <v>38</v>
      </c>
      <c r="C244" s="58" t="s">
        <v>79</v>
      </c>
      <c r="D244" s="70">
        <f>D245*0.2</f>
        <v>0.6000000000000001</v>
      </c>
      <c r="E244" s="60"/>
      <c r="F244" s="86">
        <v>108.39</v>
      </c>
      <c r="G244" s="61" t="s">
        <v>64</v>
      </c>
      <c r="H244" s="62">
        <v>90778</v>
      </c>
      <c r="I244" s="83">
        <f>TRUNC(D244*F244,4)</f>
        <v>65.034</v>
      </c>
    </row>
    <row r="245" spans="1:9" s="11" customFormat="1" ht="28.5">
      <c r="A245" s="58" t="s">
        <v>9</v>
      </c>
      <c r="B245" s="59" t="s">
        <v>138</v>
      </c>
      <c r="C245" s="58" t="s">
        <v>79</v>
      </c>
      <c r="D245" s="70">
        <v>3</v>
      </c>
      <c r="E245" s="60"/>
      <c r="F245" s="86">
        <v>30.57</v>
      </c>
      <c r="G245" s="61" t="s">
        <v>64</v>
      </c>
      <c r="H245" s="62">
        <v>88321</v>
      </c>
      <c r="I245" s="83">
        <f>TRUNC(D245*F245,4)</f>
        <v>91.71</v>
      </c>
    </row>
    <row r="246" spans="1:9" s="11" customFormat="1" ht="28.5">
      <c r="A246" s="58" t="s">
        <v>46</v>
      </c>
      <c r="B246" s="59" t="s">
        <v>137</v>
      </c>
      <c r="C246" s="58" t="s">
        <v>79</v>
      </c>
      <c r="D246" s="70">
        <f>D245</f>
        <v>3</v>
      </c>
      <c r="E246" s="60"/>
      <c r="F246" s="86">
        <v>30.51</v>
      </c>
      <c r="G246" s="61" t="s">
        <v>64</v>
      </c>
      <c r="H246" s="62">
        <v>88249</v>
      </c>
      <c r="I246" s="83">
        <f>TRUNC(D246*F246,4)</f>
        <v>91.53</v>
      </c>
    </row>
    <row r="247" spans="1:9" s="11" customFormat="1" ht="15">
      <c r="A247" s="58">
        <v>2</v>
      </c>
      <c r="B247" s="59" t="s">
        <v>55</v>
      </c>
      <c r="C247" s="58" t="s">
        <v>34</v>
      </c>
      <c r="D247" s="70">
        <f>ROUND(D244*0.5,4)</f>
        <v>0.3</v>
      </c>
      <c r="E247" s="60"/>
      <c r="F247" s="86">
        <f>TRUNC(32.3013*(1+Orcamento!$E$108),4)</f>
        <v>32.9667</v>
      </c>
      <c r="G247" s="61" t="s">
        <v>62</v>
      </c>
      <c r="H247" s="62" t="s">
        <v>63</v>
      </c>
      <c r="I247" s="83">
        <f>TRUNC(D247*F247,4)</f>
        <v>9.89</v>
      </c>
    </row>
    <row r="248" spans="1:9" s="11" customFormat="1" ht="15">
      <c r="A248" s="8"/>
      <c r="B248" s="5"/>
      <c r="C248" s="9"/>
      <c r="D248" s="9"/>
      <c r="E248" s="9"/>
      <c r="I248" s="8"/>
    </row>
    <row r="249" spans="2:5" s="11" customFormat="1" ht="15">
      <c r="B249" s="6"/>
      <c r="C249" s="7"/>
      <c r="D249" s="7"/>
      <c r="E249" s="7"/>
    </row>
    <row r="250" spans="1:9" s="11" customFormat="1" ht="15">
      <c r="A250" s="46" t="s">
        <v>29</v>
      </c>
      <c r="B250" s="46" t="s">
        <v>30</v>
      </c>
      <c r="C250" s="47"/>
      <c r="D250" s="47"/>
      <c r="E250" s="47"/>
      <c r="F250" s="47"/>
      <c r="G250" s="48"/>
      <c r="H250" s="45" t="s">
        <v>70</v>
      </c>
      <c r="I250" s="45" t="s">
        <v>69</v>
      </c>
    </row>
    <row r="251" spans="1:9" s="11" customFormat="1" ht="15">
      <c r="A251" s="49" t="s">
        <v>19</v>
      </c>
      <c r="B251" s="120" t="s">
        <v>178</v>
      </c>
      <c r="C251" s="121"/>
      <c r="D251" s="121"/>
      <c r="E251" s="121"/>
      <c r="F251" s="121"/>
      <c r="G251" s="122"/>
      <c r="H251" s="123" t="s">
        <v>10</v>
      </c>
      <c r="I251" s="124">
        <f>TRUNC(SUM(I253:I256),2)</f>
        <v>2110.47</v>
      </c>
    </row>
    <row r="252" spans="1:9" s="11" customFormat="1" ht="15.75" customHeight="1">
      <c r="A252" s="51" t="s">
        <v>1</v>
      </c>
      <c r="B252" s="52" t="s">
        <v>2</v>
      </c>
      <c r="C252" s="52" t="s">
        <v>31</v>
      </c>
      <c r="D252" s="53" t="s">
        <v>32</v>
      </c>
      <c r="E252" s="54" t="s">
        <v>33</v>
      </c>
      <c r="F252" s="55" t="s">
        <v>4</v>
      </c>
      <c r="G252" s="56" t="s">
        <v>33</v>
      </c>
      <c r="H252" s="57"/>
      <c r="I252" s="53" t="s">
        <v>71</v>
      </c>
    </row>
    <row r="253" spans="1:9" s="11" customFormat="1" ht="28.5">
      <c r="A253" s="58">
        <v>1</v>
      </c>
      <c r="B253" s="59" t="s">
        <v>125</v>
      </c>
      <c r="C253" s="58" t="s">
        <v>79</v>
      </c>
      <c r="D253" s="141">
        <f>ROUND((D254)*0.05,4)</f>
        <v>0.9</v>
      </c>
      <c r="E253" s="97">
        <v>0.05</v>
      </c>
      <c r="F253" s="86">
        <v>147.75</v>
      </c>
      <c r="G253" s="61" t="s">
        <v>92</v>
      </c>
      <c r="H253" s="62">
        <v>90779</v>
      </c>
      <c r="I253" s="83">
        <f>TRUNC(D253*F253,4)</f>
        <v>132.975</v>
      </c>
    </row>
    <row r="254" spans="1:9" s="11" customFormat="1" ht="28.5">
      <c r="A254" s="58">
        <v>2</v>
      </c>
      <c r="B254" s="59" t="s">
        <v>38</v>
      </c>
      <c r="C254" s="58" t="s">
        <v>79</v>
      </c>
      <c r="D254" s="141">
        <v>18</v>
      </c>
      <c r="E254" s="60"/>
      <c r="F254" s="86">
        <v>108.39</v>
      </c>
      <c r="G254" s="61" t="s">
        <v>64</v>
      </c>
      <c r="H254" s="62">
        <v>90778</v>
      </c>
      <c r="I254" s="83">
        <f>TRUNC(D254*F254,4)</f>
        <v>1951.02</v>
      </c>
    </row>
    <row r="255" spans="1:9" s="73" customFormat="1" ht="14.25">
      <c r="A255" s="58">
        <v>3</v>
      </c>
      <c r="B255" s="59" t="s">
        <v>80</v>
      </c>
      <c r="C255" s="69" t="s">
        <v>81</v>
      </c>
      <c r="D255" s="70">
        <f>ROUND((D254)/176,4)</f>
        <v>0.1023</v>
      </c>
      <c r="E255" s="60"/>
      <c r="F255" s="83">
        <f>TRUNC(171.37*(1+Orcamento!$E$106),4)</f>
        <v>190.4434</v>
      </c>
      <c r="G255" s="77" t="s">
        <v>82</v>
      </c>
      <c r="H255" s="72" t="s">
        <v>57</v>
      </c>
      <c r="I255" s="83">
        <f>TRUNC(D255*F255,4)</f>
        <v>19.4823</v>
      </c>
    </row>
    <row r="256" spans="1:9" s="11" customFormat="1" ht="15">
      <c r="A256" s="58">
        <v>4</v>
      </c>
      <c r="B256" s="59" t="s">
        <v>36</v>
      </c>
      <c r="C256" s="58" t="s">
        <v>95</v>
      </c>
      <c r="D256" s="70">
        <f>ROUND(D254*1,4)</f>
        <v>18</v>
      </c>
      <c r="E256" s="60"/>
      <c r="F256" s="86">
        <f>TRUNC(0.35*(1+Orcamento!$E$106),4)</f>
        <v>0.3889</v>
      </c>
      <c r="G256" s="68" t="s">
        <v>82</v>
      </c>
      <c r="H256" s="62" t="s">
        <v>89</v>
      </c>
      <c r="I256" s="83">
        <f>TRUNC(D256*F256,4)</f>
        <v>7.0002</v>
      </c>
    </row>
    <row r="257" spans="1:9" s="11" customFormat="1" ht="15">
      <c r="A257" s="8"/>
      <c r="B257" s="5"/>
      <c r="C257" s="9"/>
      <c r="D257" s="9"/>
      <c r="E257" s="9"/>
      <c r="I257" s="8"/>
    </row>
    <row r="258" spans="2:5" s="11" customFormat="1" ht="15">
      <c r="B258" s="6"/>
      <c r="C258" s="7"/>
      <c r="D258" s="7"/>
      <c r="E258" s="7"/>
    </row>
    <row r="259" spans="1:9" s="11" customFormat="1" ht="15">
      <c r="A259" s="46" t="s">
        <v>29</v>
      </c>
      <c r="B259" s="46" t="s">
        <v>30</v>
      </c>
      <c r="C259" s="47"/>
      <c r="D259" s="47"/>
      <c r="E259" s="47"/>
      <c r="F259" s="47"/>
      <c r="G259" s="48"/>
      <c r="H259" s="45" t="s">
        <v>70</v>
      </c>
      <c r="I259" s="45" t="s">
        <v>69</v>
      </c>
    </row>
    <row r="260" spans="1:9" s="11" customFormat="1" ht="15">
      <c r="A260" s="49" t="s">
        <v>20</v>
      </c>
      <c r="B260" s="120" t="s">
        <v>58</v>
      </c>
      <c r="C260" s="121"/>
      <c r="D260" s="121"/>
      <c r="E260" s="121"/>
      <c r="F260" s="121"/>
      <c r="G260" s="122"/>
      <c r="H260" s="123" t="s">
        <v>10</v>
      </c>
      <c r="I260" s="124">
        <f>TRUNC(SUM(I262:I269),2)</f>
        <v>3202.49</v>
      </c>
    </row>
    <row r="261" spans="1:9" s="11" customFormat="1" ht="15.75" customHeight="1">
      <c r="A261" s="51" t="s">
        <v>1</v>
      </c>
      <c r="B261" s="52" t="s">
        <v>2</v>
      </c>
      <c r="C261" s="52" t="s">
        <v>31</v>
      </c>
      <c r="D261" s="53" t="s">
        <v>32</v>
      </c>
      <c r="E261" s="54" t="s">
        <v>33</v>
      </c>
      <c r="F261" s="55" t="s">
        <v>4</v>
      </c>
      <c r="G261" s="56" t="s">
        <v>33</v>
      </c>
      <c r="H261" s="57"/>
      <c r="I261" s="53" t="s">
        <v>71</v>
      </c>
    </row>
    <row r="262" spans="1:9" s="11" customFormat="1" ht="28.5">
      <c r="A262" s="58" t="s">
        <v>7</v>
      </c>
      <c r="B262" s="59" t="s">
        <v>125</v>
      </c>
      <c r="C262" s="58" t="s">
        <v>79</v>
      </c>
      <c r="D262" s="70">
        <f>ROUND((D263+D264)*0.05,4)</f>
        <v>1.575</v>
      </c>
      <c r="E262" s="97">
        <v>0.05</v>
      </c>
      <c r="F262" s="86">
        <v>147.75</v>
      </c>
      <c r="G262" s="61" t="s">
        <v>92</v>
      </c>
      <c r="H262" s="62">
        <v>90779</v>
      </c>
      <c r="I262" s="83">
        <f aca="true" t="shared" si="8" ref="I262:I269">TRUNC(D262*F262,4)</f>
        <v>232.7062</v>
      </c>
    </row>
    <row r="263" spans="1:9" s="11" customFormat="1" ht="28.5">
      <c r="A263" s="58" t="s">
        <v>9</v>
      </c>
      <c r="B263" s="59" t="s">
        <v>38</v>
      </c>
      <c r="C263" s="58" t="s">
        <v>79</v>
      </c>
      <c r="D263" s="70">
        <v>21</v>
      </c>
      <c r="E263" s="60"/>
      <c r="F263" s="86">
        <v>108.39</v>
      </c>
      <c r="G263" s="61" t="s">
        <v>64</v>
      </c>
      <c r="H263" s="62">
        <v>90778</v>
      </c>
      <c r="I263" s="83">
        <f t="shared" si="8"/>
        <v>2276.19</v>
      </c>
    </row>
    <row r="264" spans="1:9" s="73" customFormat="1" ht="14.25">
      <c r="A264" s="58" t="s">
        <v>46</v>
      </c>
      <c r="B264" s="78" t="s">
        <v>51</v>
      </c>
      <c r="C264" s="58" t="s">
        <v>79</v>
      </c>
      <c r="D264" s="170">
        <f>ROUND(D263*0.5,4)</f>
        <v>10.5</v>
      </c>
      <c r="E264" s="79"/>
      <c r="F264" s="86">
        <v>18.24</v>
      </c>
      <c r="G264" s="80" t="s">
        <v>92</v>
      </c>
      <c r="H264" s="65">
        <v>88316</v>
      </c>
      <c r="I264" s="83">
        <f t="shared" si="8"/>
        <v>191.52</v>
      </c>
    </row>
    <row r="265" spans="1:9" s="73" customFormat="1" ht="14.25">
      <c r="A265" s="58">
        <v>2</v>
      </c>
      <c r="B265" s="59" t="s">
        <v>55</v>
      </c>
      <c r="C265" s="58" t="s">
        <v>34</v>
      </c>
      <c r="D265" s="70">
        <f>ROUND(D263*0.5,4)</f>
        <v>10.5</v>
      </c>
      <c r="E265" s="60"/>
      <c r="F265" s="86">
        <f>TRUNC(32.3013*(1+Orcamento!$E$108),4)</f>
        <v>32.9667</v>
      </c>
      <c r="G265" s="61" t="s">
        <v>62</v>
      </c>
      <c r="H265" s="62" t="s">
        <v>63</v>
      </c>
      <c r="I265" s="83">
        <f t="shared" si="8"/>
        <v>346.1503</v>
      </c>
    </row>
    <row r="266" spans="1:9" s="73" customFormat="1" ht="14.25">
      <c r="A266" s="58" t="s">
        <v>16</v>
      </c>
      <c r="B266" s="59" t="s">
        <v>80</v>
      </c>
      <c r="C266" s="69" t="s">
        <v>81</v>
      </c>
      <c r="D266" s="70">
        <f>ROUND((D263)/176,4)</f>
        <v>0.1193</v>
      </c>
      <c r="E266" s="60"/>
      <c r="F266" s="83">
        <f>TRUNC(171.37*(1+Orcamento!$E$106),4)</f>
        <v>190.4434</v>
      </c>
      <c r="G266" s="77" t="s">
        <v>82</v>
      </c>
      <c r="H266" s="72" t="s">
        <v>57</v>
      </c>
      <c r="I266" s="83">
        <f t="shared" si="8"/>
        <v>22.7198</v>
      </c>
    </row>
    <row r="267" spans="1:9" s="73" customFormat="1" ht="14.25">
      <c r="A267" s="58" t="s">
        <v>52</v>
      </c>
      <c r="B267" s="74" t="s">
        <v>83</v>
      </c>
      <c r="C267" s="75" t="s">
        <v>84</v>
      </c>
      <c r="D267" s="201">
        <f>ROUND((D263)/(176*12),4)</f>
        <v>0.0099</v>
      </c>
      <c r="E267" s="76"/>
      <c r="F267" s="83">
        <f>TRUNC(6461.72*(1+Orcamento!$E$107),4)</f>
        <v>6736.9892</v>
      </c>
      <c r="G267" s="71" t="s">
        <v>85</v>
      </c>
      <c r="H267" s="72" t="s">
        <v>86</v>
      </c>
      <c r="I267" s="83">
        <f t="shared" si="8"/>
        <v>66.6961</v>
      </c>
    </row>
    <row r="268" spans="1:9" s="11" customFormat="1" ht="15">
      <c r="A268" s="58" t="s">
        <v>90</v>
      </c>
      <c r="B268" s="59" t="s">
        <v>36</v>
      </c>
      <c r="C268" s="58" t="s">
        <v>95</v>
      </c>
      <c r="D268" s="70">
        <f>ROUND(D263*1,4)</f>
        <v>21</v>
      </c>
      <c r="E268" s="60"/>
      <c r="F268" s="86">
        <f>TRUNC(0.35*(1+Orcamento!$E$106),4)</f>
        <v>0.3889</v>
      </c>
      <c r="G268" s="68" t="s">
        <v>82</v>
      </c>
      <c r="H268" s="62" t="s">
        <v>89</v>
      </c>
      <c r="I268" s="83">
        <f t="shared" si="8"/>
        <v>8.1669</v>
      </c>
    </row>
    <row r="269" spans="1:9" s="11" customFormat="1" ht="15">
      <c r="A269" s="58" t="s">
        <v>91</v>
      </c>
      <c r="B269" s="59" t="s">
        <v>37</v>
      </c>
      <c r="C269" s="58" t="s">
        <v>95</v>
      </c>
      <c r="D269" s="70">
        <f>ROUND(D268*0.5,4)</f>
        <v>10.5</v>
      </c>
      <c r="E269" s="60"/>
      <c r="F269" s="86">
        <f>TRUNC(5*(1+Orcamento!$E$106),4)</f>
        <v>5.5565</v>
      </c>
      <c r="G269" s="68" t="s">
        <v>82</v>
      </c>
      <c r="H269" s="62" t="s">
        <v>87</v>
      </c>
      <c r="I269" s="83">
        <f t="shared" si="8"/>
        <v>58.3432</v>
      </c>
    </row>
    <row r="270" spans="1:9" s="11" customFormat="1" ht="15">
      <c r="A270" s="8"/>
      <c r="B270" s="5"/>
      <c r="C270" s="9"/>
      <c r="D270" s="9"/>
      <c r="E270" s="9"/>
      <c r="I270" s="8"/>
    </row>
    <row r="271" spans="2:5" s="11" customFormat="1" ht="15">
      <c r="B271" s="6"/>
      <c r="C271" s="7"/>
      <c r="D271" s="7"/>
      <c r="E271" s="7"/>
    </row>
    <row r="272" spans="1:9" s="11" customFormat="1" ht="15">
      <c r="A272" s="46" t="s">
        <v>29</v>
      </c>
      <c r="B272" s="46" t="s">
        <v>30</v>
      </c>
      <c r="C272" s="47"/>
      <c r="D272" s="47"/>
      <c r="E272" s="47"/>
      <c r="F272" s="47"/>
      <c r="G272" s="48"/>
      <c r="H272" s="45" t="s">
        <v>70</v>
      </c>
      <c r="I272" s="45" t="s">
        <v>69</v>
      </c>
    </row>
    <row r="273" spans="1:9" s="11" customFormat="1" ht="15">
      <c r="A273" s="49" t="s">
        <v>298</v>
      </c>
      <c r="B273" s="120" t="s">
        <v>403</v>
      </c>
      <c r="C273" s="121"/>
      <c r="D273" s="121"/>
      <c r="E273" s="121"/>
      <c r="F273" s="121"/>
      <c r="G273" s="122"/>
      <c r="H273" s="123" t="s">
        <v>180</v>
      </c>
      <c r="I273" s="124">
        <f>TRUNC(SUM(I275:I280),2)</f>
        <v>2.15</v>
      </c>
    </row>
    <row r="274" spans="1:9" s="11" customFormat="1" ht="15.75" customHeight="1">
      <c r="A274" s="51" t="s">
        <v>1</v>
      </c>
      <c r="B274" s="52" t="s">
        <v>2</v>
      </c>
      <c r="C274" s="52" t="s">
        <v>31</v>
      </c>
      <c r="D274" s="53" t="s">
        <v>32</v>
      </c>
      <c r="E274" s="54" t="s">
        <v>33</v>
      </c>
      <c r="F274" s="55" t="s">
        <v>4</v>
      </c>
      <c r="G274" s="56" t="s">
        <v>33</v>
      </c>
      <c r="H274" s="57"/>
      <c r="I274" s="53" t="s">
        <v>71</v>
      </c>
    </row>
    <row r="275" spans="1:9" s="11" customFormat="1" ht="28.5">
      <c r="A275" s="58">
        <v>1</v>
      </c>
      <c r="B275" s="59" t="s">
        <v>125</v>
      </c>
      <c r="C275" s="58" t="s">
        <v>79</v>
      </c>
      <c r="D275" s="70">
        <f>ROUND((D276)*0.05,4)</f>
        <v>0.0008</v>
      </c>
      <c r="E275" s="97">
        <v>0.05</v>
      </c>
      <c r="F275" s="86">
        <v>147.75</v>
      </c>
      <c r="G275" s="61" t="s">
        <v>92</v>
      </c>
      <c r="H275" s="62">
        <v>90779</v>
      </c>
      <c r="I275" s="83">
        <f aca="true" t="shared" si="9" ref="I275:I280">TRUNC(D275*F275,4)</f>
        <v>0.1182</v>
      </c>
    </row>
    <row r="276" spans="1:9" s="11" customFormat="1" ht="28.5">
      <c r="A276" s="58">
        <v>2</v>
      </c>
      <c r="B276" s="59" t="s">
        <v>38</v>
      </c>
      <c r="C276" s="58" t="s">
        <v>79</v>
      </c>
      <c r="D276" s="70">
        <v>0.0159</v>
      </c>
      <c r="E276" s="60"/>
      <c r="F276" s="86">
        <v>108.39</v>
      </c>
      <c r="G276" s="61" t="s">
        <v>64</v>
      </c>
      <c r="H276" s="62">
        <v>90778</v>
      </c>
      <c r="I276" s="83">
        <f t="shared" si="9"/>
        <v>1.7234</v>
      </c>
    </row>
    <row r="277" spans="1:9" s="11" customFormat="1" ht="15">
      <c r="A277" s="58">
        <v>3</v>
      </c>
      <c r="B277" s="59" t="s">
        <v>48</v>
      </c>
      <c r="C277" s="58" t="s">
        <v>95</v>
      </c>
      <c r="D277" s="70">
        <v>0.001</v>
      </c>
      <c r="E277" s="60"/>
      <c r="F277" s="86">
        <v>240.82</v>
      </c>
      <c r="G277" s="61" t="s">
        <v>77</v>
      </c>
      <c r="H277" s="62" t="s">
        <v>126</v>
      </c>
      <c r="I277" s="83">
        <f t="shared" si="9"/>
        <v>0.2408</v>
      </c>
    </row>
    <row r="278" spans="1:9" s="73" customFormat="1" ht="14.25">
      <c r="A278" s="58">
        <v>4</v>
      </c>
      <c r="B278" s="59" t="s">
        <v>80</v>
      </c>
      <c r="C278" s="69" t="s">
        <v>81</v>
      </c>
      <c r="D278" s="84">
        <f>ROUND((D276)/176,6)</f>
        <v>9E-05</v>
      </c>
      <c r="E278" s="60"/>
      <c r="F278" s="83">
        <f>TRUNC(171.37*(1+Orcamento!$E$106),4)</f>
        <v>190.4434</v>
      </c>
      <c r="G278" s="77" t="s">
        <v>82</v>
      </c>
      <c r="H278" s="72" t="s">
        <v>57</v>
      </c>
      <c r="I278" s="83">
        <f t="shared" si="9"/>
        <v>0.0171</v>
      </c>
    </row>
    <row r="279" spans="1:9" s="11" customFormat="1" ht="15">
      <c r="A279" s="58" t="s">
        <v>97</v>
      </c>
      <c r="B279" s="59" t="s">
        <v>36</v>
      </c>
      <c r="C279" s="58" t="s">
        <v>95</v>
      </c>
      <c r="D279" s="70">
        <f>ROUND(D276*1,4)</f>
        <v>0.0159</v>
      </c>
      <c r="E279" s="60"/>
      <c r="F279" s="86">
        <f>TRUNC(0.35*(1+Orcamento!$E$106),4)</f>
        <v>0.3889</v>
      </c>
      <c r="G279" s="68" t="s">
        <v>82</v>
      </c>
      <c r="H279" s="62" t="s">
        <v>89</v>
      </c>
      <c r="I279" s="83">
        <f t="shared" si="9"/>
        <v>0.0061</v>
      </c>
    </row>
    <row r="280" spans="1:9" s="11" customFormat="1" ht="15">
      <c r="A280" s="58" t="s">
        <v>98</v>
      </c>
      <c r="B280" s="59" t="s">
        <v>43</v>
      </c>
      <c r="C280" s="58" t="s">
        <v>95</v>
      </c>
      <c r="D280" s="70">
        <f>ROUND(D279*0.5,4)</f>
        <v>0.008</v>
      </c>
      <c r="E280" s="60"/>
      <c r="F280" s="86">
        <f>TRUNC(6*(1+Orcamento!$E$106),4)</f>
        <v>6.6678</v>
      </c>
      <c r="G280" s="68" t="s">
        <v>82</v>
      </c>
      <c r="H280" s="62" t="s">
        <v>88</v>
      </c>
      <c r="I280" s="83">
        <f t="shared" si="9"/>
        <v>0.0533</v>
      </c>
    </row>
    <row r="281" s="11" customFormat="1" ht="15">
      <c r="B281" s="6"/>
    </row>
    <row r="282" spans="2:5" s="11" customFormat="1" ht="15">
      <c r="B282" s="6"/>
      <c r="C282" s="7"/>
      <c r="D282" s="7"/>
      <c r="E282" s="7"/>
    </row>
    <row r="283" spans="1:9" s="11" customFormat="1" ht="15">
      <c r="A283" s="46" t="s">
        <v>29</v>
      </c>
      <c r="B283" s="46" t="s">
        <v>30</v>
      </c>
      <c r="C283" s="47"/>
      <c r="D283" s="47"/>
      <c r="E283" s="47"/>
      <c r="F283" s="47"/>
      <c r="G283" s="48"/>
      <c r="H283" s="45" t="s">
        <v>70</v>
      </c>
      <c r="I283" s="45" t="s">
        <v>69</v>
      </c>
    </row>
    <row r="284" spans="1:9" s="11" customFormat="1" ht="15">
      <c r="A284" s="49" t="s">
        <v>299</v>
      </c>
      <c r="B284" s="120" t="s">
        <v>297</v>
      </c>
      <c r="C284" s="121"/>
      <c r="D284" s="121"/>
      <c r="E284" s="121"/>
      <c r="F284" s="121"/>
      <c r="G284" s="122"/>
      <c r="H284" s="123" t="s">
        <v>180</v>
      </c>
      <c r="I284" s="124">
        <f>TRUNC(SUM(I286:I291),2)</f>
        <v>2.15</v>
      </c>
    </row>
    <row r="285" spans="1:9" s="11" customFormat="1" ht="15.75" customHeight="1">
      <c r="A285" s="51" t="s">
        <v>1</v>
      </c>
      <c r="B285" s="52" t="s">
        <v>2</v>
      </c>
      <c r="C285" s="52" t="s">
        <v>31</v>
      </c>
      <c r="D285" s="53" t="s">
        <v>32</v>
      </c>
      <c r="E285" s="54" t="s">
        <v>33</v>
      </c>
      <c r="F285" s="55" t="s">
        <v>4</v>
      </c>
      <c r="G285" s="56" t="s">
        <v>33</v>
      </c>
      <c r="H285" s="57"/>
      <c r="I285" s="53" t="s">
        <v>71</v>
      </c>
    </row>
    <row r="286" spans="1:9" s="11" customFormat="1" ht="28.5">
      <c r="A286" s="58">
        <v>1</v>
      </c>
      <c r="B286" s="59" t="s">
        <v>125</v>
      </c>
      <c r="C286" s="58" t="s">
        <v>79</v>
      </c>
      <c r="D286" s="70">
        <f>ROUND((D287)*0.05,4)</f>
        <v>0.0008</v>
      </c>
      <c r="E286" s="97">
        <v>0.05</v>
      </c>
      <c r="F286" s="86">
        <v>147.75</v>
      </c>
      <c r="G286" s="61" t="s">
        <v>92</v>
      </c>
      <c r="H286" s="62">
        <v>90779</v>
      </c>
      <c r="I286" s="83">
        <f aca="true" t="shared" si="10" ref="I286:I291">TRUNC(D286*F286,4)</f>
        <v>0.1182</v>
      </c>
    </row>
    <row r="287" spans="1:9" s="11" customFormat="1" ht="28.5">
      <c r="A287" s="58">
        <v>2</v>
      </c>
      <c r="B287" s="59" t="s">
        <v>38</v>
      </c>
      <c r="C287" s="58" t="s">
        <v>79</v>
      </c>
      <c r="D287" s="70">
        <v>0.0159</v>
      </c>
      <c r="E287" s="60"/>
      <c r="F287" s="86">
        <v>108.39</v>
      </c>
      <c r="G287" s="61" t="s">
        <v>64</v>
      </c>
      <c r="H287" s="62">
        <v>90778</v>
      </c>
      <c r="I287" s="83">
        <f t="shared" si="10"/>
        <v>1.7234</v>
      </c>
    </row>
    <row r="288" spans="1:9" s="11" customFormat="1" ht="15">
      <c r="A288" s="58">
        <v>3</v>
      </c>
      <c r="B288" s="59" t="s">
        <v>48</v>
      </c>
      <c r="C288" s="58" t="s">
        <v>95</v>
      </c>
      <c r="D288" s="70">
        <v>0.001</v>
      </c>
      <c r="E288" s="60"/>
      <c r="F288" s="86">
        <v>240.82</v>
      </c>
      <c r="G288" s="61" t="s">
        <v>77</v>
      </c>
      <c r="H288" s="62" t="s">
        <v>126</v>
      </c>
      <c r="I288" s="83">
        <f t="shared" si="10"/>
        <v>0.2408</v>
      </c>
    </row>
    <row r="289" spans="1:9" s="73" customFormat="1" ht="14.25">
      <c r="A289" s="58">
        <v>4</v>
      </c>
      <c r="B289" s="59" t="s">
        <v>80</v>
      </c>
      <c r="C289" s="69" t="s">
        <v>81</v>
      </c>
      <c r="D289" s="84">
        <f>ROUND((D287)/176,6)</f>
        <v>9E-05</v>
      </c>
      <c r="E289" s="60"/>
      <c r="F289" s="83">
        <f>TRUNC(171.37*(1+Orcamento!$E$106),4)</f>
        <v>190.4434</v>
      </c>
      <c r="G289" s="77" t="s">
        <v>82</v>
      </c>
      <c r="H289" s="72" t="s">
        <v>57</v>
      </c>
      <c r="I289" s="83">
        <f t="shared" si="10"/>
        <v>0.0171</v>
      </c>
    </row>
    <row r="290" spans="1:9" s="11" customFormat="1" ht="15">
      <c r="A290" s="58" t="s">
        <v>97</v>
      </c>
      <c r="B290" s="59" t="s">
        <v>36</v>
      </c>
      <c r="C290" s="58" t="s">
        <v>95</v>
      </c>
      <c r="D290" s="70">
        <f>ROUND(D287*1,4)</f>
        <v>0.0159</v>
      </c>
      <c r="E290" s="60"/>
      <c r="F290" s="86">
        <f>TRUNC(0.35*(1+Orcamento!$E$106),4)</f>
        <v>0.3889</v>
      </c>
      <c r="G290" s="68" t="s">
        <v>82</v>
      </c>
      <c r="H290" s="62" t="s">
        <v>89</v>
      </c>
      <c r="I290" s="83">
        <f t="shared" si="10"/>
        <v>0.0061</v>
      </c>
    </row>
    <row r="291" spans="1:9" s="11" customFormat="1" ht="15">
      <c r="A291" s="58" t="s">
        <v>98</v>
      </c>
      <c r="B291" s="59" t="s">
        <v>43</v>
      </c>
      <c r="C291" s="58" t="s">
        <v>95</v>
      </c>
      <c r="D291" s="70">
        <f>ROUND(D290*0.5,4)</f>
        <v>0.008</v>
      </c>
      <c r="E291" s="60"/>
      <c r="F291" s="86">
        <f>TRUNC(6*(1+Orcamento!$E$106),4)</f>
        <v>6.6678</v>
      </c>
      <c r="G291" s="68" t="s">
        <v>82</v>
      </c>
      <c r="H291" s="62" t="s">
        <v>88</v>
      </c>
      <c r="I291" s="83">
        <f t="shared" si="10"/>
        <v>0.0533</v>
      </c>
    </row>
    <row r="292" s="11" customFormat="1" ht="15">
      <c r="B292" s="6"/>
    </row>
    <row r="293" spans="2:5" s="11" customFormat="1" ht="15">
      <c r="B293" s="6"/>
      <c r="C293" s="7"/>
      <c r="D293" s="7"/>
      <c r="E293" s="7"/>
    </row>
    <row r="294" spans="1:9" s="11" customFormat="1" ht="15">
      <c r="A294" s="46" t="s">
        <v>29</v>
      </c>
      <c r="B294" s="46" t="s">
        <v>30</v>
      </c>
      <c r="C294" s="47"/>
      <c r="D294" s="47"/>
      <c r="E294" s="47"/>
      <c r="F294" s="47"/>
      <c r="G294" s="48"/>
      <c r="H294" s="45" t="s">
        <v>70</v>
      </c>
      <c r="I294" s="45" t="s">
        <v>69</v>
      </c>
    </row>
    <row r="295" spans="1:9" s="11" customFormat="1" ht="15">
      <c r="A295" s="49" t="s">
        <v>300</v>
      </c>
      <c r="B295" s="120" t="s">
        <v>402</v>
      </c>
      <c r="C295" s="121"/>
      <c r="D295" s="121"/>
      <c r="E295" s="121"/>
      <c r="F295" s="121"/>
      <c r="G295" s="122"/>
      <c r="H295" s="123" t="s">
        <v>180</v>
      </c>
      <c r="I295" s="124">
        <f>TRUNC(SUM(I297:I302),2)</f>
        <v>2.15</v>
      </c>
    </row>
    <row r="296" spans="1:9" s="11" customFormat="1" ht="15.75" customHeight="1">
      <c r="A296" s="51" t="s">
        <v>1</v>
      </c>
      <c r="B296" s="52" t="s">
        <v>2</v>
      </c>
      <c r="C296" s="52" t="s">
        <v>31</v>
      </c>
      <c r="D296" s="53" t="s">
        <v>32</v>
      </c>
      <c r="E296" s="54" t="s">
        <v>33</v>
      </c>
      <c r="F296" s="55" t="s">
        <v>4</v>
      </c>
      <c r="G296" s="56" t="s">
        <v>33</v>
      </c>
      <c r="H296" s="57"/>
      <c r="I296" s="53" t="s">
        <v>71</v>
      </c>
    </row>
    <row r="297" spans="1:9" s="11" customFormat="1" ht="28.5">
      <c r="A297" s="58">
        <v>1</v>
      </c>
      <c r="B297" s="59" t="s">
        <v>125</v>
      </c>
      <c r="C297" s="58" t="s">
        <v>79</v>
      </c>
      <c r="D297" s="70">
        <f>ROUND((D298)*0.05,4)</f>
        <v>0.0008</v>
      </c>
      <c r="E297" s="97">
        <v>0.05</v>
      </c>
      <c r="F297" s="86">
        <v>147.75</v>
      </c>
      <c r="G297" s="61" t="s">
        <v>92</v>
      </c>
      <c r="H297" s="62">
        <v>90779</v>
      </c>
      <c r="I297" s="83">
        <f aca="true" t="shared" si="11" ref="I297:I302">TRUNC(D297*F297,4)</f>
        <v>0.1182</v>
      </c>
    </row>
    <row r="298" spans="1:9" s="11" customFormat="1" ht="28.5">
      <c r="A298" s="58">
        <v>2</v>
      </c>
      <c r="B298" s="59" t="s">
        <v>38</v>
      </c>
      <c r="C298" s="58" t="s">
        <v>79</v>
      </c>
      <c r="D298" s="70">
        <v>0.0159</v>
      </c>
      <c r="E298" s="60"/>
      <c r="F298" s="86">
        <v>108.39</v>
      </c>
      <c r="G298" s="61" t="s">
        <v>64</v>
      </c>
      <c r="H298" s="62">
        <v>90778</v>
      </c>
      <c r="I298" s="83">
        <f t="shared" si="11"/>
        <v>1.7234</v>
      </c>
    </row>
    <row r="299" spans="1:9" s="11" customFormat="1" ht="15">
      <c r="A299" s="58">
        <v>3</v>
      </c>
      <c r="B299" s="59" t="s">
        <v>48</v>
      </c>
      <c r="C299" s="58" t="s">
        <v>95</v>
      </c>
      <c r="D299" s="70">
        <v>0.001</v>
      </c>
      <c r="E299" s="60"/>
      <c r="F299" s="86">
        <v>240.82</v>
      </c>
      <c r="G299" s="61" t="s">
        <v>77</v>
      </c>
      <c r="H299" s="62" t="s">
        <v>126</v>
      </c>
      <c r="I299" s="83">
        <f t="shared" si="11"/>
        <v>0.2408</v>
      </c>
    </row>
    <row r="300" spans="1:9" s="73" customFormat="1" ht="14.25">
      <c r="A300" s="58">
        <v>4</v>
      </c>
      <c r="B300" s="59" t="s">
        <v>80</v>
      </c>
      <c r="C300" s="69" t="s">
        <v>81</v>
      </c>
      <c r="D300" s="84">
        <f>ROUND((D298)/176,6)</f>
        <v>9E-05</v>
      </c>
      <c r="E300" s="60"/>
      <c r="F300" s="83">
        <f>TRUNC(171.37*(1+Orcamento!$E$106),4)</f>
        <v>190.4434</v>
      </c>
      <c r="G300" s="77" t="s">
        <v>82</v>
      </c>
      <c r="H300" s="72" t="s">
        <v>57</v>
      </c>
      <c r="I300" s="83">
        <f t="shared" si="11"/>
        <v>0.0171</v>
      </c>
    </row>
    <row r="301" spans="1:9" s="11" customFormat="1" ht="15">
      <c r="A301" s="58" t="s">
        <v>97</v>
      </c>
      <c r="B301" s="59" t="s">
        <v>36</v>
      </c>
      <c r="C301" s="58" t="s">
        <v>95</v>
      </c>
      <c r="D301" s="70">
        <f>ROUND(D298*1,4)</f>
        <v>0.0159</v>
      </c>
      <c r="E301" s="60"/>
      <c r="F301" s="86">
        <f>TRUNC(0.35*(1+Orcamento!$E$106),4)</f>
        <v>0.3889</v>
      </c>
      <c r="G301" s="68" t="s">
        <v>82</v>
      </c>
      <c r="H301" s="62" t="s">
        <v>89</v>
      </c>
      <c r="I301" s="83">
        <f t="shared" si="11"/>
        <v>0.0061</v>
      </c>
    </row>
    <row r="302" spans="1:9" s="11" customFormat="1" ht="15">
      <c r="A302" s="58" t="s">
        <v>98</v>
      </c>
      <c r="B302" s="59" t="s">
        <v>43</v>
      </c>
      <c r="C302" s="58" t="s">
        <v>95</v>
      </c>
      <c r="D302" s="70">
        <f>ROUND(D301*0.5,4)</f>
        <v>0.008</v>
      </c>
      <c r="E302" s="60"/>
      <c r="F302" s="86">
        <f>TRUNC(6*(1+Orcamento!$E$106),4)</f>
        <v>6.6678</v>
      </c>
      <c r="G302" s="68" t="s">
        <v>82</v>
      </c>
      <c r="H302" s="62" t="s">
        <v>88</v>
      </c>
      <c r="I302" s="83">
        <f t="shared" si="11"/>
        <v>0.0533</v>
      </c>
    </row>
    <row r="303" s="11" customFormat="1" ht="15">
      <c r="B303" s="6"/>
    </row>
    <row r="304" spans="2:5" s="11" customFormat="1" ht="15">
      <c r="B304" s="6"/>
      <c r="C304" s="7"/>
      <c r="D304" s="7"/>
      <c r="E304" s="7"/>
    </row>
    <row r="305" spans="1:9" s="11" customFormat="1" ht="15">
      <c r="A305" s="46" t="s">
        <v>29</v>
      </c>
      <c r="B305" s="46" t="s">
        <v>30</v>
      </c>
      <c r="C305" s="47"/>
      <c r="D305" s="47"/>
      <c r="E305" s="47"/>
      <c r="F305" s="47"/>
      <c r="G305" s="48"/>
      <c r="H305" s="45" t="s">
        <v>70</v>
      </c>
      <c r="I305" s="45" t="s">
        <v>69</v>
      </c>
    </row>
    <row r="306" spans="1:9" s="11" customFormat="1" ht="15">
      <c r="A306" s="49" t="s">
        <v>301</v>
      </c>
      <c r="B306" s="120" t="s">
        <v>294</v>
      </c>
      <c r="C306" s="121"/>
      <c r="D306" s="121"/>
      <c r="E306" s="121"/>
      <c r="F306" s="121"/>
      <c r="G306" s="122"/>
      <c r="H306" s="123" t="s">
        <v>180</v>
      </c>
      <c r="I306" s="124">
        <f>TRUNC(SUM(I308:I313),2)</f>
        <v>2.15</v>
      </c>
    </row>
    <row r="307" spans="1:9" s="11" customFormat="1" ht="15.75" customHeight="1">
      <c r="A307" s="51" t="s">
        <v>1</v>
      </c>
      <c r="B307" s="52" t="s">
        <v>2</v>
      </c>
      <c r="C307" s="52" t="s">
        <v>31</v>
      </c>
      <c r="D307" s="53" t="s">
        <v>32</v>
      </c>
      <c r="E307" s="54" t="s">
        <v>33</v>
      </c>
      <c r="F307" s="55" t="s">
        <v>4</v>
      </c>
      <c r="G307" s="56" t="s">
        <v>33</v>
      </c>
      <c r="H307" s="57"/>
      <c r="I307" s="53" t="s">
        <v>71</v>
      </c>
    </row>
    <row r="308" spans="1:9" s="11" customFormat="1" ht="28.5">
      <c r="A308" s="58">
        <v>1</v>
      </c>
      <c r="B308" s="59" t="s">
        <v>125</v>
      </c>
      <c r="C308" s="58" t="s">
        <v>79</v>
      </c>
      <c r="D308" s="70">
        <f>ROUND((D309)*0.05,4)</f>
        <v>0.0008</v>
      </c>
      <c r="E308" s="97">
        <v>0.05</v>
      </c>
      <c r="F308" s="86">
        <v>147.75</v>
      </c>
      <c r="G308" s="61" t="s">
        <v>92</v>
      </c>
      <c r="H308" s="62">
        <v>90779</v>
      </c>
      <c r="I308" s="83">
        <f aca="true" t="shared" si="12" ref="I308:I313">TRUNC(D308*F308,4)</f>
        <v>0.1182</v>
      </c>
    </row>
    <row r="309" spans="1:9" s="11" customFormat="1" ht="28.5">
      <c r="A309" s="58">
        <v>2</v>
      </c>
      <c r="B309" s="59" t="s">
        <v>38</v>
      </c>
      <c r="C309" s="58" t="s">
        <v>79</v>
      </c>
      <c r="D309" s="70">
        <v>0.0159</v>
      </c>
      <c r="E309" s="60"/>
      <c r="F309" s="86">
        <v>108.39</v>
      </c>
      <c r="G309" s="61" t="s">
        <v>64</v>
      </c>
      <c r="H309" s="62">
        <v>90778</v>
      </c>
      <c r="I309" s="83">
        <f t="shared" si="12"/>
        <v>1.7234</v>
      </c>
    </row>
    <row r="310" spans="1:9" s="11" customFormat="1" ht="15">
      <c r="A310" s="58">
        <v>3</v>
      </c>
      <c r="B310" s="59" t="s">
        <v>48</v>
      </c>
      <c r="C310" s="58" t="s">
        <v>95</v>
      </c>
      <c r="D310" s="70">
        <v>0.001</v>
      </c>
      <c r="E310" s="60"/>
      <c r="F310" s="86">
        <v>240.82</v>
      </c>
      <c r="G310" s="61" t="s">
        <v>77</v>
      </c>
      <c r="H310" s="62" t="s">
        <v>126</v>
      </c>
      <c r="I310" s="83">
        <f t="shared" si="12"/>
        <v>0.2408</v>
      </c>
    </row>
    <row r="311" spans="1:9" s="73" customFormat="1" ht="14.25">
      <c r="A311" s="58">
        <v>4</v>
      </c>
      <c r="B311" s="59" t="s">
        <v>80</v>
      </c>
      <c r="C311" s="69" t="s">
        <v>81</v>
      </c>
      <c r="D311" s="84">
        <f>ROUND((D309)/176,6)</f>
        <v>9E-05</v>
      </c>
      <c r="E311" s="60"/>
      <c r="F311" s="83">
        <f>TRUNC(171.37*(1+Orcamento!$E$106),4)</f>
        <v>190.4434</v>
      </c>
      <c r="G311" s="77" t="s">
        <v>82</v>
      </c>
      <c r="H311" s="72" t="s">
        <v>57</v>
      </c>
      <c r="I311" s="83">
        <f t="shared" si="12"/>
        <v>0.0171</v>
      </c>
    </row>
    <row r="312" spans="1:9" s="11" customFormat="1" ht="15">
      <c r="A312" s="58" t="s">
        <v>97</v>
      </c>
      <c r="B312" s="59" t="s">
        <v>36</v>
      </c>
      <c r="C312" s="58" t="s">
        <v>95</v>
      </c>
      <c r="D312" s="70">
        <f>ROUND(D309*1,4)</f>
        <v>0.0159</v>
      </c>
      <c r="E312" s="60"/>
      <c r="F312" s="86">
        <f>TRUNC(0.35*(1+Orcamento!$E$106),4)</f>
        <v>0.3889</v>
      </c>
      <c r="G312" s="68" t="s">
        <v>82</v>
      </c>
      <c r="H312" s="62" t="s">
        <v>89</v>
      </c>
      <c r="I312" s="83">
        <f t="shared" si="12"/>
        <v>0.0061</v>
      </c>
    </row>
    <row r="313" spans="1:9" s="11" customFormat="1" ht="15">
      <c r="A313" s="58" t="s">
        <v>98</v>
      </c>
      <c r="B313" s="59" t="s">
        <v>43</v>
      </c>
      <c r="C313" s="58" t="s">
        <v>95</v>
      </c>
      <c r="D313" s="70">
        <f>ROUND(D312*0.5,4)</f>
        <v>0.008</v>
      </c>
      <c r="E313" s="60"/>
      <c r="F313" s="86">
        <f>TRUNC(6*(1+Orcamento!$E$106),4)</f>
        <v>6.6678</v>
      </c>
      <c r="G313" s="68" t="s">
        <v>82</v>
      </c>
      <c r="H313" s="62" t="s">
        <v>88</v>
      </c>
      <c r="I313" s="83">
        <f t="shared" si="12"/>
        <v>0.0533</v>
      </c>
    </row>
    <row r="314" s="11" customFormat="1" ht="15">
      <c r="B314" s="6"/>
    </row>
    <row r="315" spans="2:5" s="11" customFormat="1" ht="15">
      <c r="B315" s="6"/>
      <c r="C315" s="7"/>
      <c r="D315" s="7"/>
      <c r="E315" s="7"/>
    </row>
    <row r="316" spans="1:9" s="11" customFormat="1" ht="15">
      <c r="A316" s="46" t="s">
        <v>29</v>
      </c>
      <c r="B316" s="46" t="s">
        <v>30</v>
      </c>
      <c r="C316" s="47"/>
      <c r="D316" s="47"/>
      <c r="E316" s="47"/>
      <c r="F316" s="47"/>
      <c r="G316" s="48"/>
      <c r="H316" s="45" t="s">
        <v>70</v>
      </c>
      <c r="I316" s="45" t="s">
        <v>69</v>
      </c>
    </row>
    <row r="317" spans="1:9" s="11" customFormat="1" ht="15">
      <c r="A317" s="49" t="s">
        <v>302</v>
      </c>
      <c r="B317" s="120" t="s">
        <v>295</v>
      </c>
      <c r="C317" s="121"/>
      <c r="D317" s="121"/>
      <c r="E317" s="121"/>
      <c r="F317" s="121"/>
      <c r="G317" s="122"/>
      <c r="H317" s="123" t="s">
        <v>180</v>
      </c>
      <c r="I317" s="124">
        <f>TRUNC(SUM(I319:I324),2)</f>
        <v>2.15</v>
      </c>
    </row>
    <row r="318" spans="1:9" s="11" customFormat="1" ht="15.75" customHeight="1">
      <c r="A318" s="51" t="s">
        <v>1</v>
      </c>
      <c r="B318" s="52" t="s">
        <v>2</v>
      </c>
      <c r="C318" s="52" t="s">
        <v>31</v>
      </c>
      <c r="D318" s="53" t="s">
        <v>32</v>
      </c>
      <c r="E318" s="54" t="s">
        <v>33</v>
      </c>
      <c r="F318" s="55" t="s">
        <v>4</v>
      </c>
      <c r="G318" s="56" t="s">
        <v>33</v>
      </c>
      <c r="H318" s="57"/>
      <c r="I318" s="53" t="s">
        <v>71</v>
      </c>
    </row>
    <row r="319" spans="1:9" s="11" customFormat="1" ht="28.5">
      <c r="A319" s="58">
        <v>1</v>
      </c>
      <c r="B319" s="59" t="s">
        <v>125</v>
      </c>
      <c r="C319" s="58" t="s">
        <v>79</v>
      </c>
      <c r="D319" s="70">
        <f>ROUND((D320)*0.05,4)</f>
        <v>0.0008</v>
      </c>
      <c r="E319" s="97">
        <v>0.05</v>
      </c>
      <c r="F319" s="86">
        <v>147.75</v>
      </c>
      <c r="G319" s="61" t="s">
        <v>92</v>
      </c>
      <c r="H319" s="62">
        <v>90779</v>
      </c>
      <c r="I319" s="83">
        <f aca="true" t="shared" si="13" ref="I319:I324">TRUNC(D319*F319,4)</f>
        <v>0.1182</v>
      </c>
    </row>
    <row r="320" spans="1:9" s="11" customFormat="1" ht="28.5">
      <c r="A320" s="58">
        <v>2</v>
      </c>
      <c r="B320" s="59" t="s">
        <v>38</v>
      </c>
      <c r="C320" s="58" t="s">
        <v>79</v>
      </c>
      <c r="D320" s="70">
        <v>0.0159</v>
      </c>
      <c r="E320" s="60"/>
      <c r="F320" s="86">
        <v>108.39</v>
      </c>
      <c r="G320" s="61" t="s">
        <v>64</v>
      </c>
      <c r="H320" s="62">
        <v>90778</v>
      </c>
      <c r="I320" s="83">
        <f t="shared" si="13"/>
        <v>1.7234</v>
      </c>
    </row>
    <row r="321" spans="1:9" s="11" customFormat="1" ht="15">
      <c r="A321" s="58">
        <v>3</v>
      </c>
      <c r="B321" s="59" t="s">
        <v>48</v>
      </c>
      <c r="C321" s="58" t="s">
        <v>95</v>
      </c>
      <c r="D321" s="70">
        <v>0.001</v>
      </c>
      <c r="E321" s="60"/>
      <c r="F321" s="86">
        <v>240.82</v>
      </c>
      <c r="G321" s="61" t="s">
        <v>77</v>
      </c>
      <c r="H321" s="62" t="s">
        <v>126</v>
      </c>
      <c r="I321" s="83">
        <f t="shared" si="13"/>
        <v>0.2408</v>
      </c>
    </row>
    <row r="322" spans="1:9" s="73" customFormat="1" ht="14.25">
      <c r="A322" s="58">
        <v>4</v>
      </c>
      <c r="B322" s="59" t="s">
        <v>80</v>
      </c>
      <c r="C322" s="69" t="s">
        <v>81</v>
      </c>
      <c r="D322" s="84">
        <f>ROUND((D320)/176,6)</f>
        <v>9E-05</v>
      </c>
      <c r="E322" s="60"/>
      <c r="F322" s="83">
        <f>TRUNC(171.37*(1+Orcamento!$E$106),4)</f>
        <v>190.4434</v>
      </c>
      <c r="G322" s="77" t="s">
        <v>82</v>
      </c>
      <c r="H322" s="72" t="s">
        <v>57</v>
      </c>
      <c r="I322" s="83">
        <f t="shared" si="13"/>
        <v>0.0171</v>
      </c>
    </row>
    <row r="323" spans="1:9" s="11" customFormat="1" ht="15">
      <c r="A323" s="58" t="s">
        <v>97</v>
      </c>
      <c r="B323" s="59" t="s">
        <v>36</v>
      </c>
      <c r="C323" s="58" t="s">
        <v>95</v>
      </c>
      <c r="D323" s="70">
        <f>ROUND(D320*1,4)</f>
        <v>0.0159</v>
      </c>
      <c r="E323" s="60"/>
      <c r="F323" s="86">
        <f>TRUNC(0.35*(1+Orcamento!$E$106),4)</f>
        <v>0.3889</v>
      </c>
      <c r="G323" s="68" t="s">
        <v>82</v>
      </c>
      <c r="H323" s="62" t="s">
        <v>89</v>
      </c>
      <c r="I323" s="83">
        <f t="shared" si="13"/>
        <v>0.0061</v>
      </c>
    </row>
    <row r="324" spans="1:9" s="11" customFormat="1" ht="15">
      <c r="A324" s="58" t="s">
        <v>98</v>
      </c>
      <c r="B324" s="59" t="s">
        <v>43</v>
      </c>
      <c r="C324" s="58" t="s">
        <v>95</v>
      </c>
      <c r="D324" s="70">
        <f>ROUND(D323*0.5,4)</f>
        <v>0.008</v>
      </c>
      <c r="E324" s="60"/>
      <c r="F324" s="86">
        <f>TRUNC(6*(1+Orcamento!$E$106),4)</f>
        <v>6.6678</v>
      </c>
      <c r="G324" s="68" t="s">
        <v>82</v>
      </c>
      <c r="H324" s="62" t="s">
        <v>88</v>
      </c>
      <c r="I324" s="83">
        <f t="shared" si="13"/>
        <v>0.0533</v>
      </c>
    </row>
    <row r="325" s="11" customFormat="1" ht="15">
      <c r="B325" s="6"/>
    </row>
    <row r="326" spans="2:5" s="11" customFormat="1" ht="15">
      <c r="B326" s="6"/>
      <c r="C326" s="7"/>
      <c r="D326" s="7"/>
      <c r="E326" s="7"/>
    </row>
    <row r="327" spans="1:9" s="11" customFormat="1" ht="15">
      <c r="A327" s="46" t="s">
        <v>29</v>
      </c>
      <c r="B327" s="46" t="s">
        <v>30</v>
      </c>
      <c r="C327" s="47"/>
      <c r="D327" s="47"/>
      <c r="E327" s="47"/>
      <c r="F327" s="47"/>
      <c r="G327" s="48"/>
      <c r="H327" s="45" t="s">
        <v>70</v>
      </c>
      <c r="I327" s="45" t="s">
        <v>69</v>
      </c>
    </row>
    <row r="328" spans="1:9" s="11" customFormat="1" ht="15">
      <c r="A328" s="49" t="s">
        <v>21</v>
      </c>
      <c r="B328" s="120" t="s">
        <v>196</v>
      </c>
      <c r="C328" s="121"/>
      <c r="D328" s="121"/>
      <c r="E328" s="121"/>
      <c r="F328" s="121"/>
      <c r="G328" s="122"/>
      <c r="H328" s="123" t="s">
        <v>180</v>
      </c>
      <c r="I328" s="124">
        <f>TRUNC(SUM(I330:I333),2)</f>
        <v>1.85</v>
      </c>
    </row>
    <row r="329" spans="1:9" s="11" customFormat="1" ht="15.75" customHeight="1">
      <c r="A329" s="51" t="s">
        <v>1</v>
      </c>
      <c r="B329" s="52" t="s">
        <v>2</v>
      </c>
      <c r="C329" s="52" t="s">
        <v>31</v>
      </c>
      <c r="D329" s="53" t="s">
        <v>32</v>
      </c>
      <c r="E329" s="54" t="s">
        <v>33</v>
      </c>
      <c r="F329" s="55" t="s">
        <v>4</v>
      </c>
      <c r="G329" s="56" t="s">
        <v>33</v>
      </c>
      <c r="H329" s="57"/>
      <c r="I329" s="53" t="s">
        <v>71</v>
      </c>
    </row>
    <row r="330" spans="1:9" s="11" customFormat="1" ht="28.5">
      <c r="A330" s="58">
        <v>1</v>
      </c>
      <c r="B330" s="59" t="s">
        <v>125</v>
      </c>
      <c r="C330" s="58" t="s">
        <v>79</v>
      </c>
      <c r="D330" s="70">
        <f>ROUND((D331)*0.05,4)</f>
        <v>0.0008</v>
      </c>
      <c r="E330" s="97">
        <v>0.05</v>
      </c>
      <c r="F330" s="86">
        <v>147.75</v>
      </c>
      <c r="G330" s="61" t="s">
        <v>92</v>
      </c>
      <c r="H330" s="62">
        <v>90779</v>
      </c>
      <c r="I330" s="83">
        <f>TRUNC(D330*F330,4)</f>
        <v>0.1182</v>
      </c>
    </row>
    <row r="331" spans="1:9" s="11" customFormat="1" ht="28.5">
      <c r="A331" s="58">
        <v>2</v>
      </c>
      <c r="B331" s="59" t="s">
        <v>38</v>
      </c>
      <c r="C331" s="58" t="s">
        <v>79</v>
      </c>
      <c r="D331" s="70">
        <v>0.0159</v>
      </c>
      <c r="E331" s="60"/>
      <c r="F331" s="86">
        <v>108.39</v>
      </c>
      <c r="G331" s="61" t="s">
        <v>64</v>
      </c>
      <c r="H331" s="62">
        <v>90778</v>
      </c>
      <c r="I331" s="83">
        <f>TRUNC(D331*F331,4)</f>
        <v>1.7234</v>
      </c>
    </row>
    <row r="332" spans="1:9" s="73" customFormat="1" ht="14.25">
      <c r="A332" s="58">
        <v>3</v>
      </c>
      <c r="B332" s="59" t="s">
        <v>80</v>
      </c>
      <c r="C332" s="69" t="s">
        <v>81</v>
      </c>
      <c r="D332" s="84">
        <f>ROUND((D331)/176,6)</f>
        <v>9E-05</v>
      </c>
      <c r="E332" s="60"/>
      <c r="F332" s="83">
        <f>TRUNC(171.37*(1+Orcamento!$E$106),4)</f>
        <v>190.4434</v>
      </c>
      <c r="G332" s="77" t="s">
        <v>82</v>
      </c>
      <c r="H332" s="72" t="s">
        <v>57</v>
      </c>
      <c r="I332" s="83">
        <f>TRUNC(D332*F332,4)</f>
        <v>0.0171</v>
      </c>
    </row>
    <row r="333" spans="1:9" s="11" customFormat="1" ht="15">
      <c r="A333" s="58">
        <v>4</v>
      </c>
      <c r="B333" s="59" t="s">
        <v>36</v>
      </c>
      <c r="C333" s="58" t="s">
        <v>95</v>
      </c>
      <c r="D333" s="70">
        <f>ROUND(D330*1,4)</f>
        <v>0.0008</v>
      </c>
      <c r="E333" s="60"/>
      <c r="F333" s="86">
        <f>TRUNC(0.35*(1+Orcamento!$E$106),4)</f>
        <v>0.3889</v>
      </c>
      <c r="G333" s="68" t="s">
        <v>82</v>
      </c>
      <c r="H333" s="62" t="s">
        <v>89</v>
      </c>
      <c r="I333" s="83">
        <f>TRUNC(D333*F333,4)</f>
        <v>0.0003</v>
      </c>
    </row>
    <row r="334" s="11" customFormat="1" ht="15">
      <c r="B334" s="6"/>
    </row>
    <row r="335" spans="2:5" s="11" customFormat="1" ht="15">
      <c r="B335" s="6"/>
      <c r="C335" s="7"/>
      <c r="D335" s="7"/>
      <c r="E335" s="7"/>
    </row>
    <row r="336" spans="1:9" s="11" customFormat="1" ht="15">
      <c r="A336" s="46" t="s">
        <v>29</v>
      </c>
      <c r="B336" s="46" t="s">
        <v>30</v>
      </c>
      <c r="C336" s="47"/>
      <c r="D336" s="47"/>
      <c r="E336" s="47"/>
      <c r="F336" s="47"/>
      <c r="G336" s="48"/>
      <c r="H336" s="45" t="s">
        <v>70</v>
      </c>
      <c r="I336" s="45" t="s">
        <v>69</v>
      </c>
    </row>
    <row r="337" spans="1:9" s="11" customFormat="1" ht="15">
      <c r="A337" s="49" t="s">
        <v>22</v>
      </c>
      <c r="B337" s="120" t="s">
        <v>214</v>
      </c>
      <c r="C337" s="121"/>
      <c r="D337" s="121"/>
      <c r="E337" s="121"/>
      <c r="F337" s="121"/>
      <c r="G337" s="122"/>
      <c r="H337" s="123" t="s">
        <v>180</v>
      </c>
      <c r="I337" s="124">
        <f>TRUNC(SUM(I339:I354),2)</f>
        <v>2.63</v>
      </c>
    </row>
    <row r="338" spans="1:9" s="11" customFormat="1" ht="15.75" customHeight="1">
      <c r="A338" s="51" t="s">
        <v>1</v>
      </c>
      <c r="B338" s="52" t="s">
        <v>2</v>
      </c>
      <c r="C338" s="52" t="s">
        <v>31</v>
      </c>
      <c r="D338" s="53" t="s">
        <v>32</v>
      </c>
      <c r="E338" s="54" t="s">
        <v>33</v>
      </c>
      <c r="F338" s="55" t="s">
        <v>4</v>
      </c>
      <c r="G338" s="56" t="s">
        <v>33</v>
      </c>
      <c r="H338" s="57"/>
      <c r="I338" s="53" t="s">
        <v>71</v>
      </c>
    </row>
    <row r="339" spans="1:9" s="11" customFormat="1" ht="28.5">
      <c r="A339" s="58">
        <v>1</v>
      </c>
      <c r="B339" s="59" t="s">
        <v>125</v>
      </c>
      <c r="C339" s="58" t="s">
        <v>79</v>
      </c>
      <c r="D339" s="70">
        <f>ROUND((D340+D341+D343+D345+D347+D349+D351)*0.05,4)</f>
        <v>0.0013</v>
      </c>
      <c r="E339" s="97">
        <v>0.05</v>
      </c>
      <c r="F339" s="86">
        <v>147.75</v>
      </c>
      <c r="G339" s="61" t="s">
        <v>92</v>
      </c>
      <c r="H339" s="62">
        <v>90779</v>
      </c>
      <c r="I339" s="83">
        <f aca="true" t="shared" si="14" ref="I339:I354">TRUNC(D339*F339,4)</f>
        <v>0.192</v>
      </c>
    </row>
    <row r="340" spans="1:9" s="11" customFormat="1" ht="28.5">
      <c r="A340" s="58">
        <v>2</v>
      </c>
      <c r="B340" s="59" t="s">
        <v>38</v>
      </c>
      <c r="C340" s="58" t="s">
        <v>79</v>
      </c>
      <c r="D340" s="70">
        <v>0.003</v>
      </c>
      <c r="E340" s="60"/>
      <c r="F340" s="86">
        <v>108.39</v>
      </c>
      <c r="G340" s="61" t="s">
        <v>64</v>
      </c>
      <c r="H340" s="62">
        <v>90778</v>
      </c>
      <c r="I340" s="83">
        <f t="shared" si="14"/>
        <v>0.3251</v>
      </c>
    </row>
    <row r="341" spans="1:9" s="11" customFormat="1" ht="15">
      <c r="A341" s="58" t="s">
        <v>16</v>
      </c>
      <c r="B341" s="59" t="s">
        <v>215</v>
      </c>
      <c r="C341" s="58" t="s">
        <v>79</v>
      </c>
      <c r="D341" s="70">
        <v>0.008</v>
      </c>
      <c r="E341" s="60"/>
      <c r="F341" s="86">
        <f>((10698.03/220)*(1+1.111))*(1+Orcamento!$E$106)</f>
        <v>114.07767945467727</v>
      </c>
      <c r="G341" s="77" t="s">
        <v>82</v>
      </c>
      <c r="H341" s="62" t="s">
        <v>218</v>
      </c>
      <c r="I341" s="83">
        <f t="shared" si="14"/>
        <v>0.9126</v>
      </c>
    </row>
    <row r="342" spans="1:9" s="11" customFormat="1" ht="15">
      <c r="A342" s="58" t="s">
        <v>52</v>
      </c>
      <c r="B342" s="59" t="s">
        <v>227</v>
      </c>
      <c r="C342" s="58" t="s">
        <v>79</v>
      </c>
      <c r="D342" s="70">
        <f>D341</f>
        <v>0.008</v>
      </c>
      <c r="E342" s="60"/>
      <c r="F342" s="86">
        <f>108.39-106.11</f>
        <v>2.280000000000001</v>
      </c>
      <c r="G342" s="77" t="s">
        <v>92</v>
      </c>
      <c r="H342" s="62" t="s">
        <v>199</v>
      </c>
      <c r="I342" s="83">
        <f t="shared" si="14"/>
        <v>0.0182</v>
      </c>
    </row>
    <row r="343" spans="1:9" s="11" customFormat="1" ht="15">
      <c r="A343" s="58" t="s">
        <v>90</v>
      </c>
      <c r="B343" s="59" t="s">
        <v>217</v>
      </c>
      <c r="C343" s="58" t="s">
        <v>79</v>
      </c>
      <c r="D343" s="70">
        <v>0.004</v>
      </c>
      <c r="E343" s="60"/>
      <c r="F343" s="86">
        <f>TRUNC(((10698.03/220)*(1+1.111))*(1+Orcamento!$E$106),4)</f>
        <v>114.0776</v>
      </c>
      <c r="G343" s="77" t="s">
        <v>82</v>
      </c>
      <c r="H343" s="62" t="s">
        <v>220</v>
      </c>
      <c r="I343" s="83">
        <f t="shared" si="14"/>
        <v>0.4563</v>
      </c>
    </row>
    <row r="344" spans="1:9" s="11" customFormat="1" ht="15">
      <c r="A344" s="58" t="s">
        <v>91</v>
      </c>
      <c r="B344" s="59" t="s">
        <v>232</v>
      </c>
      <c r="C344" s="58" t="s">
        <v>79</v>
      </c>
      <c r="D344" s="70">
        <f>D343</f>
        <v>0.004</v>
      </c>
      <c r="E344" s="60"/>
      <c r="F344" s="86">
        <f>108.39-106.11</f>
        <v>2.280000000000001</v>
      </c>
      <c r="G344" s="77" t="s">
        <v>92</v>
      </c>
      <c r="H344" s="62" t="s">
        <v>199</v>
      </c>
      <c r="I344" s="83">
        <f t="shared" si="14"/>
        <v>0.0091</v>
      </c>
    </row>
    <row r="345" spans="1:9" s="11" customFormat="1" ht="15">
      <c r="A345" s="58" t="s">
        <v>97</v>
      </c>
      <c r="B345" s="59" t="s">
        <v>216</v>
      </c>
      <c r="C345" s="58" t="s">
        <v>79</v>
      </c>
      <c r="D345" s="70">
        <v>0.004</v>
      </c>
      <c r="E345" s="60"/>
      <c r="F345" s="86">
        <f>TRUNC(((5913/220)*(1+1.111))*(1+Orcamento!$E$106),4)</f>
        <v>63.0528</v>
      </c>
      <c r="G345" s="77" t="s">
        <v>82</v>
      </c>
      <c r="H345" s="62" t="s">
        <v>219</v>
      </c>
      <c r="I345" s="83">
        <f t="shared" si="14"/>
        <v>0.2522</v>
      </c>
    </row>
    <row r="346" spans="1:9" s="11" customFormat="1" ht="15">
      <c r="A346" s="58" t="s">
        <v>98</v>
      </c>
      <c r="B346" s="59" t="s">
        <v>233</v>
      </c>
      <c r="C346" s="58" t="s">
        <v>79</v>
      </c>
      <c r="D346" s="70">
        <f>D345</f>
        <v>0.004</v>
      </c>
      <c r="E346" s="60"/>
      <c r="F346" s="86">
        <f>108.39-106.11</f>
        <v>2.280000000000001</v>
      </c>
      <c r="G346" s="77" t="s">
        <v>92</v>
      </c>
      <c r="H346" s="62" t="s">
        <v>199</v>
      </c>
      <c r="I346" s="83">
        <f t="shared" si="14"/>
        <v>0.0091</v>
      </c>
    </row>
    <row r="347" spans="1:9" s="11" customFormat="1" ht="15">
      <c r="A347" s="58" t="s">
        <v>99</v>
      </c>
      <c r="B347" s="59" t="s">
        <v>222</v>
      </c>
      <c r="C347" s="58" t="s">
        <v>79</v>
      </c>
      <c r="D347" s="70">
        <v>0.002</v>
      </c>
      <c r="E347" s="60"/>
      <c r="F347" s="86">
        <f>((3476.71/220)*(1+1.111))*(1+Orcamento!$E$106)</f>
        <v>37.07364897433182</v>
      </c>
      <c r="G347" s="77" t="s">
        <v>82</v>
      </c>
      <c r="H347" s="62" t="s">
        <v>221</v>
      </c>
      <c r="I347" s="83">
        <f t="shared" si="14"/>
        <v>0.0741</v>
      </c>
    </row>
    <row r="348" spans="1:9" s="11" customFormat="1" ht="15">
      <c r="A348" s="58" t="s">
        <v>100</v>
      </c>
      <c r="B348" s="59" t="s">
        <v>234</v>
      </c>
      <c r="C348" s="58" t="s">
        <v>79</v>
      </c>
      <c r="D348" s="70">
        <f>D347</f>
        <v>0.002</v>
      </c>
      <c r="E348" s="60"/>
      <c r="F348" s="86">
        <f>55.82-54.44</f>
        <v>1.3800000000000026</v>
      </c>
      <c r="G348" s="77" t="s">
        <v>92</v>
      </c>
      <c r="H348" s="65" t="s">
        <v>237</v>
      </c>
      <c r="I348" s="83">
        <f t="shared" si="14"/>
        <v>0.0027</v>
      </c>
    </row>
    <row r="349" spans="1:9" s="11" customFormat="1" ht="15">
      <c r="A349" s="58" t="s">
        <v>230</v>
      </c>
      <c r="B349" s="59" t="s">
        <v>223</v>
      </c>
      <c r="C349" s="58" t="s">
        <v>79</v>
      </c>
      <c r="D349" s="70">
        <v>0.002</v>
      </c>
      <c r="E349" s="60"/>
      <c r="F349" s="86">
        <f>TRUNC(((8483/220)*(1+1.111))*(1+Orcamento!$E$106),4)</f>
        <v>90.4578</v>
      </c>
      <c r="G349" s="77" t="s">
        <v>82</v>
      </c>
      <c r="H349" s="62" t="s">
        <v>226</v>
      </c>
      <c r="I349" s="83">
        <f t="shared" si="14"/>
        <v>0.1809</v>
      </c>
    </row>
    <row r="350" spans="1:9" s="11" customFormat="1" ht="15">
      <c r="A350" s="58" t="s">
        <v>231</v>
      </c>
      <c r="B350" s="59" t="s">
        <v>235</v>
      </c>
      <c r="C350" s="58" t="s">
        <v>79</v>
      </c>
      <c r="D350" s="70">
        <f>D349</f>
        <v>0.002</v>
      </c>
      <c r="E350" s="60"/>
      <c r="F350" s="86">
        <f>55.82-54.44</f>
        <v>1.3800000000000026</v>
      </c>
      <c r="G350" s="77" t="s">
        <v>92</v>
      </c>
      <c r="H350" s="65" t="s">
        <v>237</v>
      </c>
      <c r="I350" s="83">
        <f t="shared" si="14"/>
        <v>0.0027</v>
      </c>
    </row>
    <row r="351" spans="1:9" s="11" customFormat="1" ht="15">
      <c r="A351" s="58" t="s">
        <v>127</v>
      </c>
      <c r="B351" s="59" t="s">
        <v>224</v>
      </c>
      <c r="C351" s="58" t="s">
        <v>79</v>
      </c>
      <c r="D351" s="70">
        <v>0.002</v>
      </c>
      <c r="E351" s="60"/>
      <c r="F351" s="86">
        <f>TRUNC(((7055.16/220)*(1+1.111))*(1+Orcamento!$E$106),4)</f>
        <v>75.2321</v>
      </c>
      <c r="G351" s="77" t="s">
        <v>82</v>
      </c>
      <c r="H351" s="62" t="s">
        <v>225</v>
      </c>
      <c r="I351" s="83">
        <f t="shared" si="14"/>
        <v>0.1504</v>
      </c>
    </row>
    <row r="352" spans="1:9" s="11" customFormat="1" ht="15">
      <c r="A352" s="58" t="s">
        <v>128</v>
      </c>
      <c r="B352" s="59" t="s">
        <v>236</v>
      </c>
      <c r="C352" s="58" t="s">
        <v>79</v>
      </c>
      <c r="D352" s="70">
        <f>D351</f>
        <v>0.002</v>
      </c>
      <c r="E352" s="60"/>
      <c r="F352" s="86">
        <f>55.82-54.44</f>
        <v>1.3800000000000026</v>
      </c>
      <c r="G352" s="77" t="s">
        <v>92</v>
      </c>
      <c r="H352" s="65" t="s">
        <v>237</v>
      </c>
      <c r="I352" s="83">
        <f t="shared" si="14"/>
        <v>0.0027</v>
      </c>
    </row>
    <row r="353" spans="1:9" s="73" customFormat="1" ht="14.25">
      <c r="A353" s="58">
        <v>9</v>
      </c>
      <c r="B353" s="59" t="s">
        <v>80</v>
      </c>
      <c r="C353" s="69" t="s">
        <v>81</v>
      </c>
      <c r="D353" s="84">
        <f>ROUND((D340+D341+D345+D343+D347+D349+D351)/176,6)</f>
        <v>0.000142</v>
      </c>
      <c r="E353" s="60"/>
      <c r="F353" s="83">
        <f>TRUNC(171.37*(1+Orcamento!$E$106),4)</f>
        <v>190.4434</v>
      </c>
      <c r="G353" s="77" t="s">
        <v>82</v>
      </c>
      <c r="H353" s="72" t="s">
        <v>57</v>
      </c>
      <c r="I353" s="83">
        <f t="shared" si="14"/>
        <v>0.027</v>
      </c>
    </row>
    <row r="354" spans="1:9" s="11" customFormat="1" ht="15">
      <c r="A354" s="58">
        <v>10</v>
      </c>
      <c r="B354" s="59" t="s">
        <v>36</v>
      </c>
      <c r="C354" s="58" t="s">
        <v>95</v>
      </c>
      <c r="D354" s="70">
        <f>ROUND((D340+D341+D345+D343+D347+D349+D351)*2,4)</f>
        <v>0.05</v>
      </c>
      <c r="E354" s="60"/>
      <c r="F354" s="86">
        <f>TRUNC(0.35*(1+Orcamento!$E$106),4)</f>
        <v>0.3889</v>
      </c>
      <c r="G354" s="68" t="s">
        <v>82</v>
      </c>
      <c r="H354" s="62" t="s">
        <v>89</v>
      </c>
      <c r="I354" s="83">
        <f t="shared" si="14"/>
        <v>0.0194</v>
      </c>
    </row>
    <row r="355" s="11" customFormat="1" ht="15">
      <c r="B355" s="6"/>
    </row>
    <row r="356" spans="2:5" s="11" customFormat="1" ht="15">
      <c r="B356" s="6"/>
      <c r="C356" s="7"/>
      <c r="D356" s="7"/>
      <c r="E356" s="7"/>
    </row>
    <row r="357" spans="1:9" s="11" customFormat="1" ht="15">
      <c r="A357" s="46" t="s">
        <v>29</v>
      </c>
      <c r="B357" s="46" t="s">
        <v>30</v>
      </c>
      <c r="C357" s="47"/>
      <c r="D357" s="47"/>
      <c r="E357" s="47"/>
      <c r="F357" s="47"/>
      <c r="G357" s="48"/>
      <c r="H357" s="45" t="s">
        <v>70</v>
      </c>
      <c r="I357" s="45" t="s">
        <v>69</v>
      </c>
    </row>
    <row r="358" spans="1:9" s="11" customFormat="1" ht="15">
      <c r="A358" s="49" t="s">
        <v>23</v>
      </c>
      <c r="B358" s="120" t="s">
        <v>197</v>
      </c>
      <c r="C358" s="121"/>
      <c r="D358" s="121"/>
      <c r="E358" s="121"/>
      <c r="F358" s="121"/>
      <c r="G358" s="122"/>
      <c r="H358" s="123" t="s">
        <v>180</v>
      </c>
      <c r="I358" s="124">
        <f>TRUNC(SUM(I360:I365),2)</f>
        <v>2.44</v>
      </c>
    </row>
    <row r="359" spans="1:9" s="11" customFormat="1" ht="15.75" customHeight="1">
      <c r="A359" s="51" t="s">
        <v>1</v>
      </c>
      <c r="B359" s="52" t="s">
        <v>2</v>
      </c>
      <c r="C359" s="52" t="s">
        <v>31</v>
      </c>
      <c r="D359" s="53" t="s">
        <v>32</v>
      </c>
      <c r="E359" s="54" t="s">
        <v>33</v>
      </c>
      <c r="F359" s="55" t="s">
        <v>4</v>
      </c>
      <c r="G359" s="56" t="s">
        <v>33</v>
      </c>
      <c r="H359" s="57"/>
      <c r="I359" s="53" t="s">
        <v>71</v>
      </c>
    </row>
    <row r="360" spans="1:9" s="11" customFormat="1" ht="28.5">
      <c r="A360" s="58">
        <v>1</v>
      </c>
      <c r="B360" s="59" t="s">
        <v>125</v>
      </c>
      <c r="C360" s="58" t="s">
        <v>79</v>
      </c>
      <c r="D360" s="70">
        <f>ROUND((D361)*0.05,4)</f>
        <v>0.0008</v>
      </c>
      <c r="E360" s="97">
        <v>0.05</v>
      </c>
      <c r="F360" s="86">
        <v>147.75</v>
      </c>
      <c r="G360" s="61" t="s">
        <v>92</v>
      </c>
      <c r="H360" s="62">
        <v>90779</v>
      </c>
      <c r="I360" s="83">
        <f aca="true" t="shared" si="15" ref="I360:I365">TRUNC(D360*F360,4)</f>
        <v>0.1182</v>
      </c>
    </row>
    <row r="361" spans="1:9" s="11" customFormat="1" ht="15">
      <c r="A361" s="58" t="s">
        <v>11</v>
      </c>
      <c r="B361" s="59" t="s">
        <v>215</v>
      </c>
      <c r="C361" s="58" t="s">
        <v>79</v>
      </c>
      <c r="D361" s="70">
        <v>0.0161</v>
      </c>
      <c r="E361" s="60"/>
      <c r="F361" s="86">
        <f>TRUNC(((10698.03/220)*(1+1.111))*(1+Orcamento!$E$106),4)</f>
        <v>114.0776</v>
      </c>
      <c r="G361" s="77" t="s">
        <v>82</v>
      </c>
      <c r="H361" s="62" t="s">
        <v>218</v>
      </c>
      <c r="I361" s="83">
        <f t="shared" si="15"/>
        <v>1.8366</v>
      </c>
    </row>
    <row r="362" spans="1:9" s="11" customFormat="1" ht="15">
      <c r="A362" s="58" t="s">
        <v>13</v>
      </c>
      <c r="B362" s="59" t="s">
        <v>227</v>
      </c>
      <c r="C362" s="58" t="s">
        <v>79</v>
      </c>
      <c r="D362" s="70">
        <f>D361</f>
        <v>0.0161</v>
      </c>
      <c r="E362" s="60"/>
      <c r="F362" s="86">
        <f>108.39-106.11</f>
        <v>2.280000000000001</v>
      </c>
      <c r="G362" s="77" t="s">
        <v>92</v>
      </c>
      <c r="H362" s="62" t="s">
        <v>199</v>
      </c>
      <c r="I362" s="83">
        <f t="shared" si="15"/>
        <v>0.0367</v>
      </c>
    </row>
    <row r="363" spans="1:9" s="11" customFormat="1" ht="15">
      <c r="A363" s="58">
        <v>3</v>
      </c>
      <c r="B363" s="59" t="s">
        <v>48</v>
      </c>
      <c r="C363" s="58" t="s">
        <v>95</v>
      </c>
      <c r="D363" s="70">
        <v>0.0018</v>
      </c>
      <c r="E363" s="60"/>
      <c r="F363" s="86">
        <v>240.82</v>
      </c>
      <c r="G363" s="61" t="s">
        <v>77</v>
      </c>
      <c r="H363" s="62" t="s">
        <v>126</v>
      </c>
      <c r="I363" s="83">
        <f t="shared" si="15"/>
        <v>0.4334</v>
      </c>
    </row>
    <row r="364" spans="1:9" s="73" customFormat="1" ht="14.25">
      <c r="A364" s="58">
        <v>4</v>
      </c>
      <c r="B364" s="59" t="s">
        <v>80</v>
      </c>
      <c r="C364" s="69" t="s">
        <v>81</v>
      </c>
      <c r="D364" s="84">
        <f>ROUND((D361)/176,6)</f>
        <v>9.1E-05</v>
      </c>
      <c r="E364" s="60"/>
      <c r="F364" s="83">
        <f>TRUNC(171.37*(1+Orcamento!$E$106),4)</f>
        <v>190.4434</v>
      </c>
      <c r="G364" s="77" t="s">
        <v>82</v>
      </c>
      <c r="H364" s="72" t="s">
        <v>57</v>
      </c>
      <c r="I364" s="83">
        <f t="shared" si="15"/>
        <v>0.0173</v>
      </c>
    </row>
    <row r="365" spans="1:9" s="11" customFormat="1" ht="15">
      <c r="A365" s="58">
        <v>5</v>
      </c>
      <c r="B365" s="59" t="s">
        <v>36</v>
      </c>
      <c r="C365" s="58" t="s">
        <v>95</v>
      </c>
      <c r="D365" s="70">
        <f>ROUND(D361*1,4)</f>
        <v>0.0161</v>
      </c>
      <c r="E365" s="60"/>
      <c r="F365" s="86">
        <f>TRUNC(0.35*(1+Orcamento!$E$106),4)</f>
        <v>0.3889</v>
      </c>
      <c r="G365" s="68" t="s">
        <v>82</v>
      </c>
      <c r="H365" s="62" t="s">
        <v>89</v>
      </c>
      <c r="I365" s="83">
        <f t="shared" si="15"/>
        <v>0.0062</v>
      </c>
    </row>
    <row r="366" s="11" customFormat="1" ht="15">
      <c r="B366" s="6"/>
    </row>
    <row r="367" spans="2:5" s="11" customFormat="1" ht="15">
      <c r="B367" s="6"/>
      <c r="C367" s="7"/>
      <c r="D367" s="7"/>
      <c r="E367" s="7"/>
    </row>
    <row r="368" spans="1:9" s="11" customFormat="1" ht="15">
      <c r="A368" s="46" t="s">
        <v>29</v>
      </c>
      <c r="B368" s="46" t="s">
        <v>30</v>
      </c>
      <c r="C368" s="47"/>
      <c r="D368" s="47"/>
      <c r="E368" s="47"/>
      <c r="F368" s="47"/>
      <c r="G368" s="48"/>
      <c r="H368" s="45" t="s">
        <v>70</v>
      </c>
      <c r="I368" s="45" t="s">
        <v>69</v>
      </c>
    </row>
    <row r="369" spans="1:9" s="11" customFormat="1" ht="15">
      <c r="A369" s="49" t="s">
        <v>49</v>
      </c>
      <c r="B369" s="120" t="s">
        <v>198</v>
      </c>
      <c r="C369" s="121"/>
      <c r="D369" s="121"/>
      <c r="E369" s="121"/>
      <c r="F369" s="121"/>
      <c r="G369" s="122"/>
      <c r="H369" s="123" t="s">
        <v>10</v>
      </c>
      <c r="I369" s="124">
        <f>TRUNC(SUM(I371:I375),2)</f>
        <v>1461.62</v>
      </c>
    </row>
    <row r="370" spans="1:9" s="11" customFormat="1" ht="15.75" customHeight="1">
      <c r="A370" s="51" t="s">
        <v>1</v>
      </c>
      <c r="B370" s="52" t="s">
        <v>2</v>
      </c>
      <c r="C370" s="52" t="s">
        <v>31</v>
      </c>
      <c r="D370" s="53" t="s">
        <v>32</v>
      </c>
      <c r="E370" s="54" t="s">
        <v>33</v>
      </c>
      <c r="F370" s="55" t="s">
        <v>4</v>
      </c>
      <c r="G370" s="56" t="s">
        <v>33</v>
      </c>
      <c r="H370" s="57"/>
      <c r="I370" s="53" t="s">
        <v>71</v>
      </c>
    </row>
    <row r="371" spans="1:9" s="11" customFormat="1" ht="28.5">
      <c r="A371" s="58">
        <v>1</v>
      </c>
      <c r="B371" s="59" t="s">
        <v>125</v>
      </c>
      <c r="C371" s="58" t="s">
        <v>79</v>
      </c>
      <c r="D371" s="70">
        <f>ROUND((D373)*0.05,4)</f>
        <v>0.9</v>
      </c>
      <c r="E371" s="97">
        <v>0.05</v>
      </c>
      <c r="F371" s="86">
        <v>147.75</v>
      </c>
      <c r="G371" s="61" t="s">
        <v>92</v>
      </c>
      <c r="H371" s="62">
        <v>90779</v>
      </c>
      <c r="I371" s="83">
        <f>TRUNC(D371*F371,4)</f>
        <v>132.975</v>
      </c>
    </row>
    <row r="372" spans="1:9" s="11" customFormat="1" ht="15">
      <c r="A372" s="58" t="s">
        <v>11</v>
      </c>
      <c r="B372" s="59" t="s">
        <v>228</v>
      </c>
      <c r="C372" s="58" t="s">
        <v>79</v>
      </c>
      <c r="D372" s="70">
        <v>18</v>
      </c>
      <c r="E372" s="60"/>
      <c r="F372" s="86">
        <f>TRUNC(((6570.39/220)*(1+1.111))*(1+Orcamento!$E$106),4)</f>
        <v>70.0628</v>
      </c>
      <c r="G372" s="77" t="s">
        <v>82</v>
      </c>
      <c r="H372" s="62" t="s">
        <v>123</v>
      </c>
      <c r="I372" s="83">
        <f>TRUNC(D372*F372,4)</f>
        <v>1261.1304</v>
      </c>
    </row>
    <row r="373" spans="1:9" s="11" customFormat="1" ht="15">
      <c r="A373" s="58" t="s">
        <v>13</v>
      </c>
      <c r="B373" s="59" t="s">
        <v>229</v>
      </c>
      <c r="C373" s="58" t="s">
        <v>79</v>
      </c>
      <c r="D373" s="70">
        <f>D372</f>
        <v>18</v>
      </c>
      <c r="E373" s="60"/>
      <c r="F373" s="86">
        <f>108.39-106.11</f>
        <v>2.280000000000001</v>
      </c>
      <c r="G373" s="77" t="s">
        <v>92</v>
      </c>
      <c r="H373" s="62" t="s">
        <v>199</v>
      </c>
      <c r="I373" s="83">
        <f>TRUNC(D373*F373,4)</f>
        <v>41.04</v>
      </c>
    </row>
    <row r="374" spans="1:9" s="73" customFormat="1" ht="14.25">
      <c r="A374" s="58">
        <v>3</v>
      </c>
      <c r="B374" s="59" t="s">
        <v>80</v>
      </c>
      <c r="C374" s="69" t="s">
        <v>81</v>
      </c>
      <c r="D374" s="70">
        <f>ROUND((D373)/176,4)</f>
        <v>0.1023</v>
      </c>
      <c r="E374" s="60"/>
      <c r="F374" s="83">
        <f>TRUNC(171.37*(1+Orcamento!$E$106),4)</f>
        <v>190.4434</v>
      </c>
      <c r="G374" s="77" t="s">
        <v>82</v>
      </c>
      <c r="H374" s="72" t="s">
        <v>57</v>
      </c>
      <c r="I374" s="83">
        <f>TRUNC(D374*F374,4)</f>
        <v>19.4823</v>
      </c>
    </row>
    <row r="375" spans="1:9" s="11" customFormat="1" ht="15">
      <c r="A375" s="58">
        <v>4</v>
      </c>
      <c r="B375" s="59" t="s">
        <v>36</v>
      </c>
      <c r="C375" s="58" t="s">
        <v>95</v>
      </c>
      <c r="D375" s="70">
        <f>ROUND(D373*1,4)</f>
        <v>18</v>
      </c>
      <c r="E375" s="60"/>
      <c r="F375" s="86">
        <f>TRUNC(0.35*(1+Orcamento!$E$106),4)</f>
        <v>0.3889</v>
      </c>
      <c r="G375" s="68" t="s">
        <v>82</v>
      </c>
      <c r="H375" s="62" t="s">
        <v>89</v>
      </c>
      <c r="I375" s="83">
        <f>TRUNC(D375*F375,4)</f>
        <v>7.0002</v>
      </c>
    </row>
    <row r="376" s="11" customFormat="1" ht="15">
      <c r="B376" s="6"/>
    </row>
    <row r="377" spans="2:5" s="11" customFormat="1" ht="15">
      <c r="B377" s="6"/>
      <c r="C377" s="7"/>
      <c r="D377" s="7"/>
      <c r="E377" s="7"/>
    </row>
    <row r="378" spans="1:9" s="11" customFormat="1" ht="15">
      <c r="A378" s="46" t="s">
        <v>29</v>
      </c>
      <c r="B378" s="46" t="s">
        <v>30</v>
      </c>
      <c r="C378" s="47"/>
      <c r="D378" s="47"/>
      <c r="E378" s="47"/>
      <c r="F378" s="47"/>
      <c r="G378" s="48"/>
      <c r="H378" s="45" t="s">
        <v>70</v>
      </c>
      <c r="I378" s="45" t="s">
        <v>69</v>
      </c>
    </row>
    <row r="379" spans="1:9" s="11" customFormat="1" ht="15">
      <c r="A379" s="49" t="s">
        <v>50</v>
      </c>
      <c r="B379" s="120" t="s">
        <v>78</v>
      </c>
      <c r="C379" s="121"/>
      <c r="D379" s="121"/>
      <c r="E379" s="121"/>
      <c r="F379" s="121"/>
      <c r="G379" s="122"/>
      <c r="H379" s="123" t="s">
        <v>180</v>
      </c>
      <c r="I379" s="124">
        <f>TRUNC(SUM(I381:I387),2)</f>
        <v>8.22</v>
      </c>
    </row>
    <row r="380" spans="1:9" s="11" customFormat="1" ht="15.75" customHeight="1">
      <c r="A380" s="51" t="s">
        <v>1</v>
      </c>
      <c r="B380" s="52" t="s">
        <v>2</v>
      </c>
      <c r="C380" s="52" t="s">
        <v>31</v>
      </c>
      <c r="D380" s="53" t="s">
        <v>32</v>
      </c>
      <c r="E380" s="54" t="s">
        <v>33</v>
      </c>
      <c r="F380" s="55" t="s">
        <v>4</v>
      </c>
      <c r="G380" s="56" t="s">
        <v>33</v>
      </c>
      <c r="H380" s="57"/>
      <c r="I380" s="53" t="s">
        <v>71</v>
      </c>
    </row>
    <row r="381" spans="1:9" s="11" customFormat="1" ht="28.5">
      <c r="A381" s="58">
        <v>1</v>
      </c>
      <c r="B381" s="59" t="s">
        <v>125</v>
      </c>
      <c r="C381" s="58" t="s">
        <v>79</v>
      </c>
      <c r="D381" s="70">
        <f>ROUND((D382)*0.05,4)</f>
        <v>0.0033</v>
      </c>
      <c r="E381" s="97">
        <v>0.05</v>
      </c>
      <c r="F381" s="86">
        <v>147.75</v>
      </c>
      <c r="G381" s="61" t="s">
        <v>92</v>
      </c>
      <c r="H381" s="62">
        <v>90779</v>
      </c>
      <c r="I381" s="83">
        <f aca="true" t="shared" si="16" ref="I381:I387">TRUNC(D381*F381,4)</f>
        <v>0.4875</v>
      </c>
    </row>
    <row r="382" spans="1:9" s="11" customFormat="1" ht="28.5">
      <c r="A382" s="58">
        <v>2</v>
      </c>
      <c r="B382" s="59" t="s">
        <v>38</v>
      </c>
      <c r="C382" s="58" t="s">
        <v>79</v>
      </c>
      <c r="D382" s="70">
        <v>0.0658</v>
      </c>
      <c r="E382" s="60"/>
      <c r="F382" s="86">
        <v>108.39</v>
      </c>
      <c r="G382" s="61" t="s">
        <v>64</v>
      </c>
      <c r="H382" s="62">
        <v>90778</v>
      </c>
      <c r="I382" s="83">
        <f t="shared" si="16"/>
        <v>7.132</v>
      </c>
    </row>
    <row r="383" spans="1:9" s="11" customFormat="1" ht="15">
      <c r="A383" s="58">
        <v>3</v>
      </c>
      <c r="B383" s="59" t="s">
        <v>48</v>
      </c>
      <c r="C383" s="58" t="s">
        <v>95</v>
      </c>
      <c r="D383" s="70">
        <v>0.0005</v>
      </c>
      <c r="E383" s="60"/>
      <c r="F383" s="86">
        <v>240.82</v>
      </c>
      <c r="G383" s="61" t="s">
        <v>77</v>
      </c>
      <c r="H383" s="62" t="s">
        <v>126</v>
      </c>
      <c r="I383" s="83">
        <f t="shared" si="16"/>
        <v>0.1204</v>
      </c>
    </row>
    <row r="384" spans="1:9" s="73" customFormat="1" ht="14.25">
      <c r="A384" s="58" t="s">
        <v>90</v>
      </c>
      <c r="B384" s="59" t="s">
        <v>80</v>
      </c>
      <c r="C384" s="69" t="s">
        <v>81</v>
      </c>
      <c r="D384" s="84">
        <f>ROUND((D382)/176,6)</f>
        <v>0.000374</v>
      </c>
      <c r="E384" s="60"/>
      <c r="F384" s="83">
        <f>TRUNC(171.37*(1+Orcamento!$E$106),4)</f>
        <v>190.4434</v>
      </c>
      <c r="G384" s="77" t="s">
        <v>82</v>
      </c>
      <c r="H384" s="72" t="s">
        <v>57</v>
      </c>
      <c r="I384" s="83">
        <f t="shared" si="16"/>
        <v>0.0712</v>
      </c>
    </row>
    <row r="385" spans="1:9" s="73" customFormat="1" ht="14.25">
      <c r="A385" s="58" t="s">
        <v>91</v>
      </c>
      <c r="B385" s="74" t="s">
        <v>83</v>
      </c>
      <c r="C385" s="75" t="s">
        <v>84</v>
      </c>
      <c r="D385" s="85">
        <f>ROUND((D382)/(176*12),6)</f>
        <v>3.1E-05</v>
      </c>
      <c r="E385" s="76"/>
      <c r="F385" s="83">
        <f>TRUNC(6461.72*(1+Orcamento!$E$107),4)</f>
        <v>6736.9892</v>
      </c>
      <c r="G385" s="71" t="s">
        <v>85</v>
      </c>
      <c r="H385" s="72" t="s">
        <v>86</v>
      </c>
      <c r="I385" s="83">
        <f t="shared" si="16"/>
        <v>0.2088</v>
      </c>
    </row>
    <row r="386" spans="1:9" s="11" customFormat="1" ht="15">
      <c r="A386" s="58" t="s">
        <v>97</v>
      </c>
      <c r="B386" s="59" t="s">
        <v>36</v>
      </c>
      <c r="C386" s="58" t="s">
        <v>95</v>
      </c>
      <c r="D386" s="70">
        <f>ROUND(D382*1,4)</f>
        <v>0.0658</v>
      </c>
      <c r="E386" s="60"/>
      <c r="F386" s="86">
        <f>TRUNC(0.35*(1+Orcamento!$E$106),4)</f>
        <v>0.3889</v>
      </c>
      <c r="G386" s="68" t="s">
        <v>82</v>
      </c>
      <c r="H386" s="62" t="s">
        <v>89</v>
      </c>
      <c r="I386" s="83">
        <f t="shared" si="16"/>
        <v>0.0255</v>
      </c>
    </row>
    <row r="387" spans="1:9" s="11" customFormat="1" ht="15">
      <c r="A387" s="58" t="s">
        <v>98</v>
      </c>
      <c r="B387" s="59" t="s">
        <v>37</v>
      </c>
      <c r="C387" s="58" t="s">
        <v>95</v>
      </c>
      <c r="D387" s="70">
        <f>ROUND(D386*0.5,4)</f>
        <v>0.0329</v>
      </c>
      <c r="E387" s="60"/>
      <c r="F387" s="86">
        <f>TRUNC(5*(1+Orcamento!$E$106),4)</f>
        <v>5.5565</v>
      </c>
      <c r="G387" s="68" t="s">
        <v>82</v>
      </c>
      <c r="H387" s="62" t="s">
        <v>87</v>
      </c>
      <c r="I387" s="83">
        <f t="shared" si="16"/>
        <v>0.1828</v>
      </c>
    </row>
    <row r="388" s="11" customFormat="1" ht="15">
      <c r="B388" s="6"/>
    </row>
    <row r="389" spans="2:5" s="11" customFormat="1" ht="15">
      <c r="B389" s="6"/>
      <c r="C389" s="7"/>
      <c r="D389" s="7"/>
      <c r="E389" s="7"/>
    </row>
    <row r="390" spans="1:9" s="11" customFormat="1" ht="15">
      <c r="A390" s="46" t="s">
        <v>29</v>
      </c>
      <c r="B390" s="46" t="s">
        <v>30</v>
      </c>
      <c r="C390" s="47"/>
      <c r="D390" s="47"/>
      <c r="E390" s="47"/>
      <c r="F390" s="47"/>
      <c r="G390" s="48"/>
      <c r="H390" s="45" t="s">
        <v>70</v>
      </c>
      <c r="I390" s="45" t="s">
        <v>69</v>
      </c>
    </row>
    <row r="391" spans="1:9" s="11" customFormat="1" ht="15">
      <c r="A391" s="49" t="s">
        <v>318</v>
      </c>
      <c r="B391" s="120" t="s">
        <v>384</v>
      </c>
      <c r="C391" s="121"/>
      <c r="D391" s="121"/>
      <c r="E391" s="121"/>
      <c r="F391" s="121"/>
      <c r="G391" s="122"/>
      <c r="H391" s="123" t="s">
        <v>180</v>
      </c>
      <c r="I391" s="124">
        <f>TRUNC(SUM(I393:I399),2)</f>
        <v>11.86</v>
      </c>
    </row>
    <row r="392" spans="1:9" s="11" customFormat="1" ht="15.75" customHeight="1">
      <c r="A392" s="51" t="s">
        <v>1</v>
      </c>
      <c r="B392" s="52" t="s">
        <v>2</v>
      </c>
      <c r="C392" s="52" t="s">
        <v>31</v>
      </c>
      <c r="D392" s="53" t="s">
        <v>32</v>
      </c>
      <c r="E392" s="54" t="s">
        <v>33</v>
      </c>
      <c r="F392" s="55" t="s">
        <v>4</v>
      </c>
      <c r="G392" s="56" t="s">
        <v>33</v>
      </c>
      <c r="H392" s="57"/>
      <c r="I392" s="53" t="s">
        <v>71</v>
      </c>
    </row>
    <row r="393" spans="1:9" s="11" customFormat="1" ht="28.5">
      <c r="A393" s="58">
        <v>1</v>
      </c>
      <c r="B393" s="59" t="s">
        <v>125</v>
      </c>
      <c r="C393" s="58" t="s">
        <v>79</v>
      </c>
      <c r="D393" s="141">
        <f>ROUND((D394)*0.05,4)</f>
        <v>0.0048</v>
      </c>
      <c r="E393" s="97">
        <v>0.05</v>
      </c>
      <c r="F393" s="86">
        <v>147.75</v>
      </c>
      <c r="G393" s="61" t="s">
        <v>92</v>
      </c>
      <c r="H393" s="62">
        <v>90779</v>
      </c>
      <c r="I393" s="83">
        <f aca="true" t="shared" si="17" ref="I393:I399">TRUNC(D393*F393,4)</f>
        <v>0.7092</v>
      </c>
    </row>
    <row r="394" spans="1:9" s="11" customFormat="1" ht="28.5">
      <c r="A394" s="58">
        <v>2</v>
      </c>
      <c r="B394" s="59" t="s">
        <v>38</v>
      </c>
      <c r="C394" s="58" t="s">
        <v>79</v>
      </c>
      <c r="D394" s="141">
        <v>0.09530000000000001</v>
      </c>
      <c r="E394" s="60"/>
      <c r="F394" s="86">
        <v>108.39</v>
      </c>
      <c r="G394" s="61" t="s">
        <v>64</v>
      </c>
      <c r="H394" s="62">
        <v>90778</v>
      </c>
      <c r="I394" s="83">
        <f t="shared" si="17"/>
        <v>10.3295</v>
      </c>
    </row>
    <row r="395" spans="1:9" s="11" customFormat="1" ht="15">
      <c r="A395" s="58">
        <v>3</v>
      </c>
      <c r="B395" s="59" t="s">
        <v>48</v>
      </c>
      <c r="C395" s="58" t="s">
        <v>95</v>
      </c>
      <c r="D395" s="70">
        <v>0.0005</v>
      </c>
      <c r="E395" s="60"/>
      <c r="F395" s="86">
        <v>240.82</v>
      </c>
      <c r="G395" s="61" t="s">
        <v>77</v>
      </c>
      <c r="H395" s="62" t="s">
        <v>126</v>
      </c>
      <c r="I395" s="83">
        <f t="shared" si="17"/>
        <v>0.1204</v>
      </c>
    </row>
    <row r="396" spans="1:9" s="73" customFormat="1" ht="14.25">
      <c r="A396" s="58" t="s">
        <v>90</v>
      </c>
      <c r="B396" s="59" t="s">
        <v>80</v>
      </c>
      <c r="C396" s="69" t="s">
        <v>81</v>
      </c>
      <c r="D396" s="84">
        <f>ROUND((D394)/176,6)</f>
        <v>0.000541</v>
      </c>
      <c r="E396" s="60"/>
      <c r="F396" s="83">
        <f>TRUNC(171.37*(1+Orcamento!$E$106),4)</f>
        <v>190.4434</v>
      </c>
      <c r="G396" s="77" t="s">
        <v>82</v>
      </c>
      <c r="H396" s="72" t="s">
        <v>57</v>
      </c>
      <c r="I396" s="83">
        <f t="shared" si="17"/>
        <v>0.103</v>
      </c>
    </row>
    <row r="397" spans="1:9" s="73" customFormat="1" ht="14.25">
      <c r="A397" s="58" t="s">
        <v>91</v>
      </c>
      <c r="B397" s="74" t="s">
        <v>83</v>
      </c>
      <c r="C397" s="75" t="s">
        <v>84</v>
      </c>
      <c r="D397" s="85">
        <f>ROUND((D394)/(176*12),6)</f>
        <v>4.5E-05</v>
      </c>
      <c r="E397" s="76"/>
      <c r="F397" s="83">
        <f>TRUNC(6461.72*(1+Orcamento!$E$107),4)</f>
        <v>6736.9892</v>
      </c>
      <c r="G397" s="71" t="s">
        <v>85</v>
      </c>
      <c r="H397" s="72" t="s">
        <v>86</v>
      </c>
      <c r="I397" s="83">
        <f t="shared" si="17"/>
        <v>0.3031</v>
      </c>
    </row>
    <row r="398" spans="1:9" s="11" customFormat="1" ht="15">
      <c r="A398" s="58" t="s">
        <v>97</v>
      </c>
      <c r="B398" s="59" t="s">
        <v>36</v>
      </c>
      <c r="C398" s="58" t="s">
        <v>95</v>
      </c>
      <c r="D398" s="70">
        <f>ROUND(D394*1,4)</f>
        <v>0.0953</v>
      </c>
      <c r="E398" s="60"/>
      <c r="F398" s="86">
        <f>TRUNC(0.35*(1+Orcamento!$E$106),4)</f>
        <v>0.3889</v>
      </c>
      <c r="G398" s="68" t="s">
        <v>82</v>
      </c>
      <c r="H398" s="62" t="s">
        <v>89</v>
      </c>
      <c r="I398" s="83">
        <f t="shared" si="17"/>
        <v>0.037</v>
      </c>
    </row>
    <row r="399" spans="1:9" s="11" customFormat="1" ht="15">
      <c r="A399" s="58" t="s">
        <v>98</v>
      </c>
      <c r="B399" s="59" t="s">
        <v>37</v>
      </c>
      <c r="C399" s="58" t="s">
        <v>95</v>
      </c>
      <c r="D399" s="70">
        <f>ROUND(D398*0.5,4)</f>
        <v>0.0477</v>
      </c>
      <c r="E399" s="60"/>
      <c r="F399" s="86">
        <f>TRUNC(5*(1+Orcamento!$E$106),4)</f>
        <v>5.5565</v>
      </c>
      <c r="G399" s="68" t="s">
        <v>82</v>
      </c>
      <c r="H399" s="62" t="s">
        <v>87</v>
      </c>
      <c r="I399" s="83">
        <f t="shared" si="17"/>
        <v>0.265</v>
      </c>
    </row>
    <row r="400" s="11" customFormat="1" ht="15">
      <c r="B400" s="6"/>
    </row>
    <row r="401" spans="2:5" s="11" customFormat="1" ht="15">
      <c r="B401" s="6"/>
      <c r="C401" s="7"/>
      <c r="D401" s="7"/>
      <c r="E401" s="7"/>
    </row>
    <row r="402" spans="1:9" s="11" customFormat="1" ht="15">
      <c r="A402" s="46" t="s">
        <v>29</v>
      </c>
      <c r="B402" s="46" t="s">
        <v>30</v>
      </c>
      <c r="C402" s="47"/>
      <c r="D402" s="47"/>
      <c r="E402" s="47"/>
      <c r="F402" s="47"/>
      <c r="G402" s="48"/>
      <c r="H402" s="45" t="s">
        <v>70</v>
      </c>
      <c r="I402" s="45" t="s">
        <v>69</v>
      </c>
    </row>
    <row r="403" spans="1:9" s="11" customFormat="1" ht="15">
      <c r="A403" s="49" t="s">
        <v>252</v>
      </c>
      <c r="B403" s="120" t="s">
        <v>155</v>
      </c>
      <c r="C403" s="121"/>
      <c r="D403" s="121"/>
      <c r="E403" s="121"/>
      <c r="F403" s="121"/>
      <c r="G403" s="122"/>
      <c r="H403" s="123" t="s">
        <v>180</v>
      </c>
      <c r="I403" s="124">
        <f>TRUNC(SUM(I405:I411),2)</f>
        <v>9.89</v>
      </c>
    </row>
    <row r="404" spans="1:9" s="11" customFormat="1" ht="15.75" customHeight="1">
      <c r="A404" s="51" t="s">
        <v>1</v>
      </c>
      <c r="B404" s="52" t="s">
        <v>2</v>
      </c>
      <c r="C404" s="52" t="s">
        <v>31</v>
      </c>
      <c r="D404" s="53" t="s">
        <v>32</v>
      </c>
      <c r="E404" s="54" t="s">
        <v>33</v>
      </c>
      <c r="F404" s="55" t="s">
        <v>4</v>
      </c>
      <c r="G404" s="56" t="s">
        <v>33</v>
      </c>
      <c r="H404" s="57"/>
      <c r="I404" s="53" t="s">
        <v>71</v>
      </c>
    </row>
    <row r="405" spans="1:9" s="11" customFormat="1" ht="28.5">
      <c r="A405" s="58">
        <v>1</v>
      </c>
      <c r="B405" s="59" t="s">
        <v>125</v>
      </c>
      <c r="C405" s="58" t="s">
        <v>79</v>
      </c>
      <c r="D405" s="70">
        <f>ROUND((D406)*0.05,4)</f>
        <v>0.004</v>
      </c>
      <c r="E405" s="97">
        <v>0.05</v>
      </c>
      <c r="F405" s="86">
        <v>147.75</v>
      </c>
      <c r="G405" s="61" t="s">
        <v>92</v>
      </c>
      <c r="H405" s="62">
        <v>90779</v>
      </c>
      <c r="I405" s="83">
        <f aca="true" t="shared" si="18" ref="I405:I411">TRUNC(D405*F405,4)</f>
        <v>0.591</v>
      </c>
    </row>
    <row r="406" spans="1:9" s="11" customFormat="1" ht="28.5">
      <c r="A406" s="58">
        <v>2</v>
      </c>
      <c r="B406" s="59" t="s">
        <v>38</v>
      </c>
      <c r="C406" s="58" t="s">
        <v>79</v>
      </c>
      <c r="D406" s="70">
        <v>0.07930000000000001</v>
      </c>
      <c r="E406" s="60"/>
      <c r="F406" s="86">
        <v>108.39</v>
      </c>
      <c r="G406" s="61" t="s">
        <v>64</v>
      </c>
      <c r="H406" s="62">
        <v>90778</v>
      </c>
      <c r="I406" s="83">
        <f t="shared" si="18"/>
        <v>8.5953</v>
      </c>
    </row>
    <row r="407" spans="1:9" s="11" customFormat="1" ht="15">
      <c r="A407" s="58">
        <v>3</v>
      </c>
      <c r="B407" s="59" t="s">
        <v>48</v>
      </c>
      <c r="C407" s="58" t="s">
        <v>95</v>
      </c>
      <c r="D407" s="70">
        <v>0.0005</v>
      </c>
      <c r="E407" s="60"/>
      <c r="F407" s="86">
        <v>240.82</v>
      </c>
      <c r="G407" s="61" t="s">
        <v>77</v>
      </c>
      <c r="H407" s="62" t="s">
        <v>126</v>
      </c>
      <c r="I407" s="83">
        <f t="shared" si="18"/>
        <v>0.1204</v>
      </c>
    </row>
    <row r="408" spans="1:9" s="73" customFormat="1" ht="14.25">
      <c r="A408" s="58" t="s">
        <v>90</v>
      </c>
      <c r="B408" s="59" t="s">
        <v>80</v>
      </c>
      <c r="C408" s="69" t="s">
        <v>81</v>
      </c>
      <c r="D408" s="84">
        <f>ROUND((D406)/176,6)</f>
        <v>0.000451</v>
      </c>
      <c r="E408" s="60"/>
      <c r="F408" s="83">
        <f>TRUNC(171.37*(1+Orcamento!$E$106),4)</f>
        <v>190.4434</v>
      </c>
      <c r="G408" s="77" t="s">
        <v>82</v>
      </c>
      <c r="H408" s="72" t="s">
        <v>57</v>
      </c>
      <c r="I408" s="83">
        <f t="shared" si="18"/>
        <v>0.0858</v>
      </c>
    </row>
    <row r="409" spans="1:9" s="73" customFormat="1" ht="14.25">
      <c r="A409" s="58" t="s">
        <v>91</v>
      </c>
      <c r="B409" s="74" t="s">
        <v>83</v>
      </c>
      <c r="C409" s="75" t="s">
        <v>84</v>
      </c>
      <c r="D409" s="85">
        <f>ROUND((D406)/(176*12),6)</f>
        <v>3.8E-05</v>
      </c>
      <c r="E409" s="76"/>
      <c r="F409" s="83">
        <f>TRUNC(6461.72*(1+Orcamento!$E$107),4)</f>
        <v>6736.9892</v>
      </c>
      <c r="G409" s="71" t="s">
        <v>85</v>
      </c>
      <c r="H409" s="72" t="s">
        <v>86</v>
      </c>
      <c r="I409" s="83">
        <f t="shared" si="18"/>
        <v>0.256</v>
      </c>
    </row>
    <row r="410" spans="1:9" s="11" customFormat="1" ht="15">
      <c r="A410" s="58" t="s">
        <v>97</v>
      </c>
      <c r="B410" s="59" t="s">
        <v>36</v>
      </c>
      <c r="C410" s="58" t="s">
        <v>95</v>
      </c>
      <c r="D410" s="70">
        <f>ROUND(D406*1,4)</f>
        <v>0.0793</v>
      </c>
      <c r="E410" s="60"/>
      <c r="F410" s="86">
        <f>TRUNC(0.35*(1+Orcamento!$E$106),4)</f>
        <v>0.3889</v>
      </c>
      <c r="G410" s="68" t="s">
        <v>82</v>
      </c>
      <c r="H410" s="62" t="s">
        <v>89</v>
      </c>
      <c r="I410" s="83">
        <f t="shared" si="18"/>
        <v>0.0308</v>
      </c>
    </row>
    <row r="411" spans="1:9" s="11" customFormat="1" ht="15">
      <c r="A411" s="58" t="s">
        <v>98</v>
      </c>
      <c r="B411" s="59" t="s">
        <v>37</v>
      </c>
      <c r="C411" s="58" t="s">
        <v>95</v>
      </c>
      <c r="D411" s="70">
        <f>ROUND(D410*0.5,4)</f>
        <v>0.0397</v>
      </c>
      <c r="E411" s="60"/>
      <c r="F411" s="86">
        <f>TRUNC(5*(1+Orcamento!$E$106),4)</f>
        <v>5.5565</v>
      </c>
      <c r="G411" s="68" t="s">
        <v>82</v>
      </c>
      <c r="H411" s="62" t="s">
        <v>87</v>
      </c>
      <c r="I411" s="83">
        <f t="shared" si="18"/>
        <v>0.2205</v>
      </c>
    </row>
    <row r="412" s="11" customFormat="1" ht="15">
      <c r="B412" s="6"/>
    </row>
    <row r="413" spans="2:5" s="11" customFormat="1" ht="15">
      <c r="B413" s="6"/>
      <c r="C413" s="7"/>
      <c r="D413" s="7"/>
      <c r="E413" s="7"/>
    </row>
    <row r="414" spans="1:9" s="11" customFormat="1" ht="15">
      <c r="A414" s="46" t="s">
        <v>29</v>
      </c>
      <c r="B414" s="46" t="s">
        <v>30</v>
      </c>
      <c r="C414" s="47"/>
      <c r="D414" s="47"/>
      <c r="E414" s="47"/>
      <c r="F414" s="47"/>
      <c r="G414" s="48"/>
      <c r="H414" s="45" t="s">
        <v>70</v>
      </c>
      <c r="I414" s="45" t="s">
        <v>69</v>
      </c>
    </row>
    <row r="415" spans="1:9" s="11" customFormat="1" ht="15">
      <c r="A415" s="49" t="s">
        <v>239</v>
      </c>
      <c r="B415" s="120" t="s">
        <v>155</v>
      </c>
      <c r="C415" s="121"/>
      <c r="D415" s="121"/>
      <c r="E415" s="121"/>
      <c r="F415" s="121"/>
      <c r="G415" s="122"/>
      <c r="H415" s="123" t="s">
        <v>180</v>
      </c>
      <c r="I415" s="124">
        <f>TRUNC(SUM(I417:I423),2)</f>
        <v>5.99</v>
      </c>
    </row>
    <row r="416" spans="1:9" s="11" customFormat="1" ht="15.75" customHeight="1">
      <c r="A416" s="51" t="s">
        <v>1</v>
      </c>
      <c r="B416" s="52" t="s">
        <v>2</v>
      </c>
      <c r="C416" s="52" t="s">
        <v>31</v>
      </c>
      <c r="D416" s="53" t="s">
        <v>32</v>
      </c>
      <c r="E416" s="54" t="s">
        <v>33</v>
      </c>
      <c r="F416" s="55" t="s">
        <v>4</v>
      </c>
      <c r="G416" s="56" t="s">
        <v>33</v>
      </c>
      <c r="H416" s="57"/>
      <c r="I416" s="53" t="s">
        <v>71</v>
      </c>
    </row>
    <row r="417" spans="1:9" s="11" customFormat="1" ht="28.5">
      <c r="A417" s="58">
        <v>1</v>
      </c>
      <c r="B417" s="59" t="s">
        <v>125</v>
      </c>
      <c r="C417" s="58" t="s">
        <v>79</v>
      </c>
      <c r="D417" s="70">
        <f>ROUND((D418)*0.05,4)</f>
        <v>0.0024</v>
      </c>
      <c r="E417" s="97">
        <v>0.05</v>
      </c>
      <c r="F417" s="86">
        <v>147.75</v>
      </c>
      <c r="G417" s="61" t="s">
        <v>92</v>
      </c>
      <c r="H417" s="62">
        <v>90779</v>
      </c>
      <c r="I417" s="83">
        <f aca="true" t="shared" si="19" ref="I417:I423">TRUNC(D417*F417,4)</f>
        <v>0.3546</v>
      </c>
    </row>
    <row r="418" spans="1:9" s="11" customFormat="1" ht="28.5">
      <c r="A418" s="58">
        <v>2</v>
      </c>
      <c r="B418" s="59" t="s">
        <v>38</v>
      </c>
      <c r="C418" s="58" t="s">
        <v>79</v>
      </c>
      <c r="D418" s="70">
        <f>ROUND(D406*0.6,4)</f>
        <v>0.0476</v>
      </c>
      <c r="E418" s="60"/>
      <c r="F418" s="86">
        <v>108.39</v>
      </c>
      <c r="G418" s="61" t="s">
        <v>64</v>
      </c>
      <c r="H418" s="62">
        <v>90778</v>
      </c>
      <c r="I418" s="83">
        <f t="shared" si="19"/>
        <v>5.1593</v>
      </c>
    </row>
    <row r="419" spans="1:9" s="11" customFormat="1" ht="15">
      <c r="A419" s="58">
        <v>3</v>
      </c>
      <c r="B419" s="59" t="s">
        <v>48</v>
      </c>
      <c r="C419" s="58" t="s">
        <v>95</v>
      </c>
      <c r="D419" s="70">
        <v>0.0005</v>
      </c>
      <c r="E419" s="60"/>
      <c r="F419" s="86">
        <v>240.82</v>
      </c>
      <c r="G419" s="61" t="s">
        <v>77</v>
      </c>
      <c r="H419" s="62" t="s">
        <v>126</v>
      </c>
      <c r="I419" s="83">
        <f t="shared" si="19"/>
        <v>0.1204</v>
      </c>
    </row>
    <row r="420" spans="1:9" s="73" customFormat="1" ht="14.25">
      <c r="A420" s="58" t="s">
        <v>90</v>
      </c>
      <c r="B420" s="59" t="s">
        <v>80</v>
      </c>
      <c r="C420" s="69" t="s">
        <v>81</v>
      </c>
      <c r="D420" s="84">
        <f>ROUND((D418)/176,6)</f>
        <v>0.00027</v>
      </c>
      <c r="E420" s="60"/>
      <c r="F420" s="83">
        <f>TRUNC(171.37*(1+Orcamento!$E$106),4)</f>
        <v>190.4434</v>
      </c>
      <c r="G420" s="77" t="s">
        <v>82</v>
      </c>
      <c r="H420" s="72" t="s">
        <v>57</v>
      </c>
      <c r="I420" s="83">
        <f t="shared" si="19"/>
        <v>0.0514</v>
      </c>
    </row>
    <row r="421" spans="1:9" s="73" customFormat="1" ht="14.25">
      <c r="A421" s="58" t="s">
        <v>91</v>
      </c>
      <c r="B421" s="74" t="s">
        <v>83</v>
      </c>
      <c r="C421" s="75" t="s">
        <v>84</v>
      </c>
      <c r="D421" s="85">
        <f>ROUND((D418)/(176*12),6)</f>
        <v>2.3E-05</v>
      </c>
      <c r="E421" s="76"/>
      <c r="F421" s="83">
        <f>TRUNC(6461.72*(1+Orcamento!$E$107),4)</f>
        <v>6736.9892</v>
      </c>
      <c r="G421" s="71" t="s">
        <v>85</v>
      </c>
      <c r="H421" s="72" t="s">
        <v>86</v>
      </c>
      <c r="I421" s="83">
        <f t="shared" si="19"/>
        <v>0.1549</v>
      </c>
    </row>
    <row r="422" spans="1:9" s="11" customFormat="1" ht="15">
      <c r="A422" s="58" t="s">
        <v>97</v>
      </c>
      <c r="B422" s="59" t="s">
        <v>36</v>
      </c>
      <c r="C422" s="58" t="s">
        <v>95</v>
      </c>
      <c r="D422" s="70">
        <f>ROUND(D418*1,4)</f>
        <v>0.0476</v>
      </c>
      <c r="E422" s="60"/>
      <c r="F422" s="86">
        <f>TRUNC(0.35*(1+Orcamento!$E$106),4)</f>
        <v>0.3889</v>
      </c>
      <c r="G422" s="68" t="s">
        <v>82</v>
      </c>
      <c r="H422" s="62" t="s">
        <v>89</v>
      </c>
      <c r="I422" s="83">
        <f t="shared" si="19"/>
        <v>0.0185</v>
      </c>
    </row>
    <row r="423" spans="1:9" s="11" customFormat="1" ht="15">
      <c r="A423" s="58" t="s">
        <v>98</v>
      </c>
      <c r="B423" s="59" t="s">
        <v>37</v>
      </c>
      <c r="C423" s="58" t="s">
        <v>95</v>
      </c>
      <c r="D423" s="70">
        <f>ROUND(D422*0.5,4)</f>
        <v>0.0238</v>
      </c>
      <c r="E423" s="60"/>
      <c r="F423" s="86">
        <f>TRUNC(5*(1+Orcamento!$E$106),4)</f>
        <v>5.5565</v>
      </c>
      <c r="G423" s="68" t="s">
        <v>82</v>
      </c>
      <c r="H423" s="62" t="s">
        <v>87</v>
      </c>
      <c r="I423" s="83">
        <f t="shared" si="19"/>
        <v>0.1322</v>
      </c>
    </row>
    <row r="424" s="11" customFormat="1" ht="15">
      <c r="B424" s="6"/>
    </row>
    <row r="425" spans="2:5" s="11" customFormat="1" ht="15">
      <c r="B425" s="6"/>
      <c r="C425" s="7"/>
      <c r="D425" s="7"/>
      <c r="E425" s="7"/>
    </row>
    <row r="426" spans="1:9" s="11" customFormat="1" ht="15">
      <c r="A426" s="46" t="s">
        <v>29</v>
      </c>
      <c r="B426" s="46" t="s">
        <v>30</v>
      </c>
      <c r="C426" s="47"/>
      <c r="D426" s="47"/>
      <c r="E426" s="47"/>
      <c r="F426" s="47"/>
      <c r="G426" s="48"/>
      <c r="H426" s="45" t="s">
        <v>70</v>
      </c>
      <c r="I426" s="45" t="s">
        <v>69</v>
      </c>
    </row>
    <row r="427" spans="1:9" s="11" customFormat="1" ht="15">
      <c r="A427" s="49" t="s">
        <v>253</v>
      </c>
      <c r="B427" s="120" t="s">
        <v>338</v>
      </c>
      <c r="C427" s="121"/>
      <c r="D427" s="121"/>
      <c r="E427" s="121"/>
      <c r="F427" s="121"/>
      <c r="G427" s="122"/>
      <c r="H427" s="123" t="s">
        <v>180</v>
      </c>
      <c r="I427" s="124">
        <f>TRUNC(SUM(I429:I435),2)</f>
        <v>4.23</v>
      </c>
    </row>
    <row r="428" spans="1:9" s="11" customFormat="1" ht="15.75" customHeight="1">
      <c r="A428" s="51" t="s">
        <v>1</v>
      </c>
      <c r="B428" s="52" t="s">
        <v>2</v>
      </c>
      <c r="C428" s="52" t="s">
        <v>31</v>
      </c>
      <c r="D428" s="53" t="s">
        <v>32</v>
      </c>
      <c r="E428" s="54" t="s">
        <v>33</v>
      </c>
      <c r="F428" s="55" t="s">
        <v>4</v>
      </c>
      <c r="G428" s="56" t="s">
        <v>33</v>
      </c>
      <c r="H428" s="57"/>
      <c r="I428" s="53" t="s">
        <v>71</v>
      </c>
    </row>
    <row r="429" spans="1:9" s="11" customFormat="1" ht="28.5">
      <c r="A429" s="58">
        <v>1</v>
      </c>
      <c r="B429" s="59" t="s">
        <v>125</v>
      </c>
      <c r="C429" s="58" t="s">
        <v>79</v>
      </c>
      <c r="D429" s="70">
        <f>ROUND((D430)*0.05,4)</f>
        <v>0.0017</v>
      </c>
      <c r="E429" s="97">
        <v>0.05</v>
      </c>
      <c r="F429" s="86">
        <v>147.75</v>
      </c>
      <c r="G429" s="61" t="s">
        <v>92</v>
      </c>
      <c r="H429" s="62">
        <v>90779</v>
      </c>
      <c r="I429" s="83">
        <f aca="true" t="shared" si="20" ref="I429:I435">TRUNC(D429*F429,4)</f>
        <v>0.2511</v>
      </c>
    </row>
    <row r="430" spans="1:9" s="11" customFormat="1" ht="28.5">
      <c r="A430" s="58">
        <v>2</v>
      </c>
      <c r="B430" s="59" t="s">
        <v>38</v>
      </c>
      <c r="C430" s="58" t="s">
        <v>79</v>
      </c>
      <c r="D430" s="70">
        <v>0.0333</v>
      </c>
      <c r="E430" s="60"/>
      <c r="F430" s="86">
        <v>108.39</v>
      </c>
      <c r="G430" s="61" t="s">
        <v>64</v>
      </c>
      <c r="H430" s="62">
        <v>90778</v>
      </c>
      <c r="I430" s="83">
        <f t="shared" si="20"/>
        <v>3.6093</v>
      </c>
    </row>
    <row r="431" spans="1:9" s="11" customFormat="1" ht="15">
      <c r="A431" s="58">
        <v>3</v>
      </c>
      <c r="B431" s="59" t="s">
        <v>48</v>
      </c>
      <c r="C431" s="58" t="s">
        <v>95</v>
      </c>
      <c r="D431" s="70">
        <v>0.0005</v>
      </c>
      <c r="E431" s="60"/>
      <c r="F431" s="86">
        <v>240.82</v>
      </c>
      <c r="G431" s="61" t="s">
        <v>77</v>
      </c>
      <c r="H431" s="62" t="s">
        <v>126</v>
      </c>
      <c r="I431" s="83">
        <f t="shared" si="20"/>
        <v>0.1204</v>
      </c>
    </row>
    <row r="432" spans="1:9" s="73" customFormat="1" ht="14.25">
      <c r="A432" s="58" t="s">
        <v>90</v>
      </c>
      <c r="B432" s="59" t="s">
        <v>80</v>
      </c>
      <c r="C432" s="69" t="s">
        <v>81</v>
      </c>
      <c r="D432" s="84">
        <f>ROUND((D430)/176,6)</f>
        <v>0.000189</v>
      </c>
      <c r="E432" s="60"/>
      <c r="F432" s="83">
        <f>TRUNC(171.37*(1+Orcamento!$E$106),4)</f>
        <v>190.4434</v>
      </c>
      <c r="G432" s="77" t="s">
        <v>82</v>
      </c>
      <c r="H432" s="72" t="s">
        <v>57</v>
      </c>
      <c r="I432" s="83">
        <f t="shared" si="20"/>
        <v>0.0359</v>
      </c>
    </row>
    <row r="433" spans="1:9" s="73" customFormat="1" ht="14.25">
      <c r="A433" s="58" t="s">
        <v>91</v>
      </c>
      <c r="B433" s="74" t="s">
        <v>83</v>
      </c>
      <c r="C433" s="75" t="s">
        <v>84</v>
      </c>
      <c r="D433" s="85">
        <f>ROUND((D430)/(176*12),6)</f>
        <v>1.6E-05</v>
      </c>
      <c r="E433" s="76"/>
      <c r="F433" s="83">
        <f>TRUNC(6461.72*(1+Orcamento!$E$107),4)</f>
        <v>6736.9892</v>
      </c>
      <c r="G433" s="71" t="s">
        <v>85</v>
      </c>
      <c r="H433" s="72" t="s">
        <v>86</v>
      </c>
      <c r="I433" s="83">
        <f t="shared" si="20"/>
        <v>0.1077</v>
      </c>
    </row>
    <row r="434" spans="1:9" s="11" customFormat="1" ht="15">
      <c r="A434" s="58" t="s">
        <v>97</v>
      </c>
      <c r="B434" s="59" t="s">
        <v>36</v>
      </c>
      <c r="C434" s="58" t="s">
        <v>95</v>
      </c>
      <c r="D434" s="70">
        <f>ROUND(D430*1,4)</f>
        <v>0.0333</v>
      </c>
      <c r="E434" s="60"/>
      <c r="F434" s="86">
        <f>TRUNC(0.35*(1+Orcamento!$E$106),4)</f>
        <v>0.3889</v>
      </c>
      <c r="G434" s="68" t="s">
        <v>82</v>
      </c>
      <c r="H434" s="62" t="s">
        <v>89</v>
      </c>
      <c r="I434" s="83">
        <f t="shared" si="20"/>
        <v>0.0129</v>
      </c>
    </row>
    <row r="435" spans="1:9" s="11" customFormat="1" ht="15">
      <c r="A435" s="58" t="s">
        <v>98</v>
      </c>
      <c r="B435" s="59" t="s">
        <v>37</v>
      </c>
      <c r="C435" s="58" t="s">
        <v>95</v>
      </c>
      <c r="D435" s="70">
        <f>ROUND(D434*0.5,4)</f>
        <v>0.0167</v>
      </c>
      <c r="E435" s="60"/>
      <c r="F435" s="86">
        <f>TRUNC(5*(1+Orcamento!$E$106),4)</f>
        <v>5.5565</v>
      </c>
      <c r="G435" s="68" t="s">
        <v>82</v>
      </c>
      <c r="H435" s="62" t="s">
        <v>87</v>
      </c>
      <c r="I435" s="83">
        <f t="shared" si="20"/>
        <v>0.0927</v>
      </c>
    </row>
    <row r="436" s="11" customFormat="1" ht="15">
      <c r="B436" s="6"/>
    </row>
    <row r="437" spans="2:5" s="11" customFormat="1" ht="15">
      <c r="B437" s="6"/>
      <c r="C437" s="7"/>
      <c r="D437" s="7"/>
      <c r="E437" s="7"/>
    </row>
    <row r="438" spans="1:9" s="11" customFormat="1" ht="15">
      <c r="A438" s="46" t="s">
        <v>29</v>
      </c>
      <c r="B438" s="46" t="s">
        <v>30</v>
      </c>
      <c r="C438" s="47"/>
      <c r="D438" s="47"/>
      <c r="E438" s="47"/>
      <c r="F438" s="47"/>
      <c r="G438" s="48"/>
      <c r="H438" s="45" t="s">
        <v>70</v>
      </c>
      <c r="I438" s="45" t="s">
        <v>69</v>
      </c>
    </row>
    <row r="439" spans="1:9" s="11" customFormat="1" ht="15">
      <c r="A439" s="49" t="s">
        <v>240</v>
      </c>
      <c r="B439" s="120" t="s">
        <v>338</v>
      </c>
      <c r="C439" s="121"/>
      <c r="D439" s="121"/>
      <c r="E439" s="121"/>
      <c r="F439" s="121"/>
      <c r="G439" s="122"/>
      <c r="H439" s="123" t="s">
        <v>180</v>
      </c>
      <c r="I439" s="124">
        <f>TRUNC(SUM(I441:I447),2)</f>
        <v>2.58</v>
      </c>
    </row>
    <row r="440" spans="1:9" s="11" customFormat="1" ht="15.75" customHeight="1">
      <c r="A440" s="51" t="s">
        <v>1</v>
      </c>
      <c r="B440" s="52" t="s">
        <v>2</v>
      </c>
      <c r="C440" s="52" t="s">
        <v>31</v>
      </c>
      <c r="D440" s="53" t="s">
        <v>32</v>
      </c>
      <c r="E440" s="54" t="s">
        <v>33</v>
      </c>
      <c r="F440" s="55" t="s">
        <v>4</v>
      </c>
      <c r="G440" s="56" t="s">
        <v>33</v>
      </c>
      <c r="H440" s="57"/>
      <c r="I440" s="53" t="s">
        <v>71</v>
      </c>
    </row>
    <row r="441" spans="1:9" s="11" customFormat="1" ht="28.5">
      <c r="A441" s="58">
        <v>1</v>
      </c>
      <c r="B441" s="59" t="s">
        <v>125</v>
      </c>
      <c r="C441" s="58" t="s">
        <v>79</v>
      </c>
      <c r="D441" s="70">
        <f>ROUND((D442)*0.05,4)</f>
        <v>0.001</v>
      </c>
      <c r="E441" s="97">
        <v>0.05</v>
      </c>
      <c r="F441" s="86">
        <v>147.75</v>
      </c>
      <c r="G441" s="61" t="s">
        <v>92</v>
      </c>
      <c r="H441" s="62">
        <v>90779</v>
      </c>
      <c r="I441" s="83">
        <f aca="true" t="shared" si="21" ref="I441:I447">TRUNC(D441*F441,4)</f>
        <v>0.1477</v>
      </c>
    </row>
    <row r="442" spans="1:9" s="11" customFormat="1" ht="28.5">
      <c r="A442" s="58">
        <v>2</v>
      </c>
      <c r="B442" s="59" t="s">
        <v>38</v>
      </c>
      <c r="C442" s="58" t="s">
        <v>79</v>
      </c>
      <c r="D442" s="70">
        <f>ROUND(D430*0.6,4)</f>
        <v>0.02</v>
      </c>
      <c r="E442" s="60"/>
      <c r="F442" s="86">
        <v>108.39</v>
      </c>
      <c r="G442" s="61" t="s">
        <v>64</v>
      </c>
      <c r="H442" s="62">
        <v>90778</v>
      </c>
      <c r="I442" s="83">
        <f t="shared" si="21"/>
        <v>2.1678</v>
      </c>
    </row>
    <row r="443" spans="1:9" s="11" customFormat="1" ht="15">
      <c r="A443" s="58">
        <v>3</v>
      </c>
      <c r="B443" s="59" t="s">
        <v>48</v>
      </c>
      <c r="C443" s="58" t="s">
        <v>95</v>
      </c>
      <c r="D443" s="70">
        <v>0.0005</v>
      </c>
      <c r="E443" s="60"/>
      <c r="F443" s="86">
        <v>240.82</v>
      </c>
      <c r="G443" s="61" t="s">
        <v>77</v>
      </c>
      <c r="H443" s="62" t="s">
        <v>126</v>
      </c>
      <c r="I443" s="83">
        <f t="shared" si="21"/>
        <v>0.1204</v>
      </c>
    </row>
    <row r="444" spans="1:9" s="73" customFormat="1" ht="14.25">
      <c r="A444" s="58" t="s">
        <v>90</v>
      </c>
      <c r="B444" s="59" t="s">
        <v>80</v>
      </c>
      <c r="C444" s="69" t="s">
        <v>81</v>
      </c>
      <c r="D444" s="84">
        <f>ROUND((D442)/176,6)</f>
        <v>0.000114</v>
      </c>
      <c r="E444" s="60"/>
      <c r="F444" s="83">
        <f>TRUNC(171.37*(1+Orcamento!$E$106),4)</f>
        <v>190.4434</v>
      </c>
      <c r="G444" s="77" t="s">
        <v>82</v>
      </c>
      <c r="H444" s="72" t="s">
        <v>57</v>
      </c>
      <c r="I444" s="83">
        <f t="shared" si="21"/>
        <v>0.0217</v>
      </c>
    </row>
    <row r="445" spans="1:9" s="73" customFormat="1" ht="14.25">
      <c r="A445" s="58" t="s">
        <v>91</v>
      </c>
      <c r="B445" s="74" t="s">
        <v>83</v>
      </c>
      <c r="C445" s="75" t="s">
        <v>84</v>
      </c>
      <c r="D445" s="85">
        <f>ROUND((D442)/(176*12),6)</f>
        <v>9E-06</v>
      </c>
      <c r="E445" s="76"/>
      <c r="F445" s="83">
        <f>TRUNC(6461.72*(1+Orcamento!$E$107),4)</f>
        <v>6736.9892</v>
      </c>
      <c r="G445" s="71" t="s">
        <v>85</v>
      </c>
      <c r="H445" s="72" t="s">
        <v>86</v>
      </c>
      <c r="I445" s="83">
        <f t="shared" si="21"/>
        <v>0.0606</v>
      </c>
    </row>
    <row r="446" spans="1:9" s="11" customFormat="1" ht="15">
      <c r="A446" s="58" t="s">
        <v>97</v>
      </c>
      <c r="B446" s="59" t="s">
        <v>36</v>
      </c>
      <c r="C446" s="58" t="s">
        <v>95</v>
      </c>
      <c r="D446" s="70">
        <f>ROUND(D442*1,4)</f>
        <v>0.02</v>
      </c>
      <c r="E446" s="60"/>
      <c r="F446" s="86">
        <f>TRUNC(0.35*(1+Orcamento!$E$106),4)</f>
        <v>0.3889</v>
      </c>
      <c r="G446" s="68" t="s">
        <v>82</v>
      </c>
      <c r="H446" s="62" t="s">
        <v>89</v>
      </c>
      <c r="I446" s="83">
        <f t="shared" si="21"/>
        <v>0.0077</v>
      </c>
    </row>
    <row r="447" spans="1:9" s="11" customFormat="1" ht="15">
      <c r="A447" s="58" t="s">
        <v>98</v>
      </c>
      <c r="B447" s="59" t="s">
        <v>37</v>
      </c>
      <c r="C447" s="58" t="s">
        <v>95</v>
      </c>
      <c r="D447" s="70">
        <f>ROUND(D446*0.5,4)</f>
        <v>0.01</v>
      </c>
      <c r="E447" s="60"/>
      <c r="F447" s="86">
        <f>TRUNC(5*(1+Orcamento!$E$106),4)</f>
        <v>5.5565</v>
      </c>
      <c r="G447" s="68" t="s">
        <v>82</v>
      </c>
      <c r="H447" s="62" t="s">
        <v>87</v>
      </c>
      <c r="I447" s="83">
        <f t="shared" si="21"/>
        <v>0.0555</v>
      </c>
    </row>
    <row r="448" s="11" customFormat="1" ht="15">
      <c r="B448" s="6"/>
    </row>
    <row r="449" spans="2:5" s="11" customFormat="1" ht="15">
      <c r="B449" s="6"/>
      <c r="C449" s="7"/>
      <c r="D449" s="7"/>
      <c r="E449" s="7"/>
    </row>
    <row r="450" spans="1:9" s="11" customFormat="1" ht="15">
      <c r="A450" s="46" t="s">
        <v>29</v>
      </c>
      <c r="B450" s="46" t="s">
        <v>30</v>
      </c>
      <c r="C450" s="47"/>
      <c r="D450" s="47"/>
      <c r="E450" s="47"/>
      <c r="F450" s="47"/>
      <c r="G450" s="48"/>
      <c r="H450" s="45" t="s">
        <v>70</v>
      </c>
      <c r="I450" s="45" t="s">
        <v>69</v>
      </c>
    </row>
    <row r="451" spans="1:9" s="11" customFormat="1" ht="15">
      <c r="A451" s="49" t="s">
        <v>162</v>
      </c>
      <c r="B451" s="120" t="s">
        <v>387</v>
      </c>
      <c r="C451" s="121"/>
      <c r="D451" s="121"/>
      <c r="E451" s="121"/>
      <c r="F451" s="121"/>
      <c r="G451" s="122"/>
      <c r="H451" s="123" t="s">
        <v>180</v>
      </c>
      <c r="I451" s="124">
        <f>TRUNC(SUM(I453:I459),2)</f>
        <v>4.23</v>
      </c>
    </row>
    <row r="452" spans="1:9" s="11" customFormat="1" ht="15.75" customHeight="1">
      <c r="A452" s="51" t="s">
        <v>1</v>
      </c>
      <c r="B452" s="52" t="s">
        <v>2</v>
      </c>
      <c r="C452" s="52" t="s">
        <v>31</v>
      </c>
      <c r="D452" s="53" t="s">
        <v>32</v>
      </c>
      <c r="E452" s="54" t="s">
        <v>33</v>
      </c>
      <c r="F452" s="55" t="s">
        <v>4</v>
      </c>
      <c r="G452" s="56" t="s">
        <v>33</v>
      </c>
      <c r="H452" s="57"/>
      <c r="I452" s="53" t="s">
        <v>71</v>
      </c>
    </row>
    <row r="453" spans="1:9" s="11" customFormat="1" ht="28.5">
      <c r="A453" s="58">
        <v>1</v>
      </c>
      <c r="B453" s="59" t="s">
        <v>125</v>
      </c>
      <c r="C453" s="58" t="s">
        <v>79</v>
      </c>
      <c r="D453" s="70">
        <f>ROUND((D454)*0.05,4)</f>
        <v>0.0017</v>
      </c>
      <c r="E453" s="97">
        <v>0.05</v>
      </c>
      <c r="F453" s="86">
        <v>147.75</v>
      </c>
      <c r="G453" s="61" t="s">
        <v>92</v>
      </c>
      <c r="H453" s="62">
        <v>90779</v>
      </c>
      <c r="I453" s="83">
        <f aca="true" t="shared" si="22" ref="I453:I459">TRUNC(D453*F453,4)</f>
        <v>0.2511</v>
      </c>
    </row>
    <row r="454" spans="1:9" s="11" customFormat="1" ht="28.5">
      <c r="A454" s="58">
        <v>2</v>
      </c>
      <c r="B454" s="59" t="s">
        <v>38</v>
      </c>
      <c r="C454" s="58" t="s">
        <v>79</v>
      </c>
      <c r="D454" s="70">
        <v>0.0333</v>
      </c>
      <c r="E454" s="60"/>
      <c r="F454" s="86">
        <v>108.39</v>
      </c>
      <c r="G454" s="61" t="s">
        <v>64</v>
      </c>
      <c r="H454" s="62">
        <v>90778</v>
      </c>
      <c r="I454" s="83">
        <f t="shared" si="22"/>
        <v>3.6093</v>
      </c>
    </row>
    <row r="455" spans="1:9" s="11" customFormat="1" ht="15">
      <c r="A455" s="58">
        <v>3</v>
      </c>
      <c r="B455" s="59" t="s">
        <v>48</v>
      </c>
      <c r="C455" s="58" t="s">
        <v>95</v>
      </c>
      <c r="D455" s="70">
        <v>0.0005</v>
      </c>
      <c r="E455" s="60"/>
      <c r="F455" s="86">
        <v>240.82</v>
      </c>
      <c r="G455" s="61" t="s">
        <v>77</v>
      </c>
      <c r="H455" s="62" t="s">
        <v>126</v>
      </c>
      <c r="I455" s="83">
        <f t="shared" si="22"/>
        <v>0.1204</v>
      </c>
    </row>
    <row r="456" spans="1:9" s="73" customFormat="1" ht="14.25">
      <c r="A456" s="58" t="s">
        <v>90</v>
      </c>
      <c r="B456" s="59" t="s">
        <v>80</v>
      </c>
      <c r="C456" s="69" t="s">
        <v>81</v>
      </c>
      <c r="D456" s="84">
        <f>ROUND((D454)/176,6)</f>
        <v>0.000189</v>
      </c>
      <c r="E456" s="60"/>
      <c r="F456" s="83">
        <f>TRUNC(171.37*(1+Orcamento!$E$106),4)</f>
        <v>190.4434</v>
      </c>
      <c r="G456" s="77" t="s">
        <v>82</v>
      </c>
      <c r="H456" s="72" t="s">
        <v>57</v>
      </c>
      <c r="I456" s="83">
        <f t="shared" si="22"/>
        <v>0.0359</v>
      </c>
    </row>
    <row r="457" spans="1:9" s="73" customFormat="1" ht="14.25">
      <c r="A457" s="58" t="s">
        <v>91</v>
      </c>
      <c r="B457" s="74" t="s">
        <v>83</v>
      </c>
      <c r="C457" s="75" t="s">
        <v>84</v>
      </c>
      <c r="D457" s="85">
        <f>ROUND((D454)/(176*12),6)</f>
        <v>1.6E-05</v>
      </c>
      <c r="E457" s="76"/>
      <c r="F457" s="83">
        <f>TRUNC(6461.72*(1+Orcamento!$E$107),4)</f>
        <v>6736.9892</v>
      </c>
      <c r="G457" s="71" t="s">
        <v>85</v>
      </c>
      <c r="H457" s="72" t="s">
        <v>86</v>
      </c>
      <c r="I457" s="83">
        <f t="shared" si="22"/>
        <v>0.1077</v>
      </c>
    </row>
    <row r="458" spans="1:9" s="11" customFormat="1" ht="15">
      <c r="A458" s="58" t="s">
        <v>97</v>
      </c>
      <c r="B458" s="59" t="s">
        <v>36</v>
      </c>
      <c r="C458" s="58" t="s">
        <v>95</v>
      </c>
      <c r="D458" s="70">
        <f>ROUND(D454*1,4)</f>
        <v>0.0333</v>
      </c>
      <c r="E458" s="60"/>
      <c r="F458" s="86">
        <f>TRUNC(0.35*(1+Orcamento!$E$106),4)</f>
        <v>0.3889</v>
      </c>
      <c r="G458" s="68" t="s">
        <v>82</v>
      </c>
      <c r="H458" s="62" t="s">
        <v>89</v>
      </c>
      <c r="I458" s="83">
        <f t="shared" si="22"/>
        <v>0.0129</v>
      </c>
    </row>
    <row r="459" spans="1:9" s="11" customFormat="1" ht="15">
      <c r="A459" s="58" t="s">
        <v>98</v>
      </c>
      <c r="B459" s="59" t="s">
        <v>37</v>
      </c>
      <c r="C459" s="58" t="s">
        <v>95</v>
      </c>
      <c r="D459" s="70">
        <f>ROUND(D458*0.5,4)</f>
        <v>0.0167</v>
      </c>
      <c r="E459" s="60"/>
      <c r="F459" s="86">
        <f>TRUNC(5*(1+Orcamento!$E$106),4)</f>
        <v>5.5565</v>
      </c>
      <c r="G459" s="68" t="s">
        <v>82</v>
      </c>
      <c r="H459" s="62" t="s">
        <v>87</v>
      </c>
      <c r="I459" s="83">
        <f t="shared" si="22"/>
        <v>0.0927</v>
      </c>
    </row>
    <row r="460" s="11" customFormat="1" ht="15">
      <c r="B460" s="6"/>
    </row>
    <row r="461" spans="2:5" s="11" customFormat="1" ht="15">
      <c r="B461" s="6"/>
      <c r="C461" s="7"/>
      <c r="D461" s="7"/>
      <c r="E461" s="7"/>
    </row>
    <row r="462" spans="1:9" s="11" customFormat="1" ht="15">
      <c r="A462" s="46" t="s">
        <v>29</v>
      </c>
      <c r="B462" s="46" t="s">
        <v>30</v>
      </c>
      <c r="C462" s="47"/>
      <c r="D462" s="47"/>
      <c r="E462" s="47"/>
      <c r="F462" s="47"/>
      <c r="G462" s="48"/>
      <c r="H462" s="45" t="s">
        <v>70</v>
      </c>
      <c r="I462" s="45" t="s">
        <v>69</v>
      </c>
    </row>
    <row r="463" spans="1:9" s="11" customFormat="1" ht="15">
      <c r="A463" s="49" t="s">
        <v>254</v>
      </c>
      <c r="B463" s="120" t="s">
        <v>168</v>
      </c>
      <c r="C463" s="121"/>
      <c r="D463" s="121"/>
      <c r="E463" s="121"/>
      <c r="F463" s="121"/>
      <c r="G463" s="122"/>
      <c r="H463" s="123" t="s">
        <v>10</v>
      </c>
      <c r="I463" s="124">
        <f>TRUNC(SUM(I465:I471),2)</f>
        <v>1226.28</v>
      </c>
    </row>
    <row r="464" spans="1:9" s="11" customFormat="1" ht="15.75" customHeight="1">
      <c r="A464" s="51" t="s">
        <v>1</v>
      </c>
      <c r="B464" s="52" t="s">
        <v>2</v>
      </c>
      <c r="C464" s="52" t="s">
        <v>31</v>
      </c>
      <c r="D464" s="53" t="s">
        <v>32</v>
      </c>
      <c r="E464" s="54" t="s">
        <v>33</v>
      </c>
      <c r="F464" s="55" t="s">
        <v>4</v>
      </c>
      <c r="G464" s="56" t="s">
        <v>33</v>
      </c>
      <c r="H464" s="57"/>
      <c r="I464" s="53" t="s">
        <v>71</v>
      </c>
    </row>
    <row r="465" spans="1:9" s="11" customFormat="1" ht="28.5">
      <c r="A465" s="58">
        <v>1</v>
      </c>
      <c r="B465" s="59" t="s">
        <v>125</v>
      </c>
      <c r="C465" s="58" t="s">
        <v>79</v>
      </c>
      <c r="D465" s="70">
        <f>ROUND((D466)*0.05,4)</f>
        <v>0.55</v>
      </c>
      <c r="E465" s="97">
        <v>0.05</v>
      </c>
      <c r="F465" s="86">
        <v>147.75</v>
      </c>
      <c r="G465" s="61" t="s">
        <v>92</v>
      </c>
      <c r="H465" s="62">
        <v>90779</v>
      </c>
      <c r="I465" s="83">
        <f aca="true" t="shared" si="23" ref="I465:I471">TRUNC(D465*F465,4)</f>
        <v>81.2625</v>
      </c>
    </row>
    <row r="466" spans="1:9" s="11" customFormat="1" ht="28.5">
      <c r="A466" s="58">
        <v>2</v>
      </c>
      <c r="B466" s="59" t="s">
        <v>39</v>
      </c>
      <c r="C466" s="58" t="s">
        <v>79</v>
      </c>
      <c r="D466" s="70">
        <v>11</v>
      </c>
      <c r="E466" s="60"/>
      <c r="F466" s="86">
        <v>92.28</v>
      </c>
      <c r="G466" s="61" t="s">
        <v>64</v>
      </c>
      <c r="H466" s="62">
        <v>91677</v>
      </c>
      <c r="I466" s="83">
        <f t="shared" si="23"/>
        <v>1015.08</v>
      </c>
    </row>
    <row r="467" spans="1:9" s="11" customFormat="1" ht="15">
      <c r="A467" s="58">
        <v>3</v>
      </c>
      <c r="B467" s="59" t="s">
        <v>48</v>
      </c>
      <c r="C467" s="58" t="s">
        <v>95</v>
      </c>
      <c r="D467" s="70">
        <v>0.2</v>
      </c>
      <c r="E467" s="60"/>
      <c r="F467" s="86">
        <v>240.82</v>
      </c>
      <c r="G467" s="61" t="s">
        <v>77</v>
      </c>
      <c r="H467" s="62" t="s">
        <v>126</v>
      </c>
      <c r="I467" s="83">
        <f t="shared" si="23"/>
        <v>48.164</v>
      </c>
    </row>
    <row r="468" spans="1:9" s="73" customFormat="1" ht="14.25">
      <c r="A468" s="58" t="s">
        <v>90</v>
      </c>
      <c r="B468" s="59" t="s">
        <v>80</v>
      </c>
      <c r="C468" s="69" t="s">
        <v>81</v>
      </c>
      <c r="D468" s="70">
        <f>ROUND((D466)/176,4)</f>
        <v>0.0625</v>
      </c>
      <c r="E468" s="60"/>
      <c r="F468" s="83">
        <f>TRUNC(171.37*(1+Orcamento!$E$106),4)</f>
        <v>190.4434</v>
      </c>
      <c r="G468" s="77" t="s">
        <v>82</v>
      </c>
      <c r="H468" s="72" t="s">
        <v>57</v>
      </c>
      <c r="I468" s="83">
        <f t="shared" si="23"/>
        <v>11.9027</v>
      </c>
    </row>
    <row r="469" spans="1:9" s="73" customFormat="1" ht="14.25">
      <c r="A469" s="58" t="s">
        <v>91</v>
      </c>
      <c r="B469" s="74" t="s">
        <v>83</v>
      </c>
      <c r="C469" s="75" t="s">
        <v>84</v>
      </c>
      <c r="D469" s="201">
        <f>ROUND((D466)/(176*12),4)</f>
        <v>0.0052</v>
      </c>
      <c r="E469" s="76"/>
      <c r="F469" s="83">
        <f>TRUNC(6461.72*(1+Orcamento!$E$107),4)</f>
        <v>6736.9892</v>
      </c>
      <c r="G469" s="71" t="s">
        <v>85</v>
      </c>
      <c r="H469" s="72" t="s">
        <v>86</v>
      </c>
      <c r="I469" s="83">
        <f t="shared" si="23"/>
        <v>35.0323</v>
      </c>
    </row>
    <row r="470" spans="1:9" s="11" customFormat="1" ht="15">
      <c r="A470" s="58" t="s">
        <v>97</v>
      </c>
      <c r="B470" s="59" t="s">
        <v>36</v>
      </c>
      <c r="C470" s="58" t="s">
        <v>95</v>
      </c>
      <c r="D470" s="70">
        <f>ROUND(D466*1,4)</f>
        <v>11</v>
      </c>
      <c r="E470" s="60"/>
      <c r="F470" s="86">
        <f>TRUNC(0.35*(1+Orcamento!$E$106),4)</f>
        <v>0.3889</v>
      </c>
      <c r="G470" s="68" t="s">
        <v>82</v>
      </c>
      <c r="H470" s="62" t="s">
        <v>89</v>
      </c>
      <c r="I470" s="83">
        <f t="shared" si="23"/>
        <v>4.2779</v>
      </c>
    </row>
    <row r="471" spans="1:9" s="11" customFormat="1" ht="15">
      <c r="A471" s="58" t="s">
        <v>98</v>
      </c>
      <c r="B471" s="59" t="s">
        <v>37</v>
      </c>
      <c r="C471" s="58" t="s">
        <v>95</v>
      </c>
      <c r="D471" s="70">
        <f>ROUND(D470*0.5,4)</f>
        <v>5.5</v>
      </c>
      <c r="E471" s="60"/>
      <c r="F471" s="86">
        <f>TRUNC(5*(1+Orcamento!$E$106),4)</f>
        <v>5.5565</v>
      </c>
      <c r="G471" s="68" t="s">
        <v>82</v>
      </c>
      <c r="H471" s="62" t="s">
        <v>87</v>
      </c>
      <c r="I471" s="83">
        <f t="shared" si="23"/>
        <v>30.5607</v>
      </c>
    </row>
    <row r="472" s="11" customFormat="1" ht="15">
      <c r="B472" s="6"/>
    </row>
    <row r="473" spans="2:5" s="11" customFormat="1" ht="15">
      <c r="B473" s="6"/>
      <c r="C473" s="7"/>
      <c r="D473" s="7"/>
      <c r="E473" s="7"/>
    </row>
    <row r="474" spans="1:9" s="11" customFormat="1" ht="15">
      <c r="A474" s="46" t="s">
        <v>29</v>
      </c>
      <c r="B474" s="46" t="s">
        <v>30</v>
      </c>
      <c r="C474" s="47"/>
      <c r="D474" s="47"/>
      <c r="E474" s="47"/>
      <c r="F474" s="47"/>
      <c r="G474" s="48"/>
      <c r="H474" s="45" t="s">
        <v>70</v>
      </c>
      <c r="I474" s="45" t="s">
        <v>69</v>
      </c>
    </row>
    <row r="475" spans="1:9" s="11" customFormat="1" ht="15">
      <c r="A475" s="49" t="s">
        <v>241</v>
      </c>
      <c r="B475" s="120" t="s">
        <v>388</v>
      </c>
      <c r="C475" s="121"/>
      <c r="D475" s="121"/>
      <c r="E475" s="121"/>
      <c r="F475" s="121"/>
      <c r="G475" s="122"/>
      <c r="H475" s="123" t="s">
        <v>10</v>
      </c>
      <c r="I475" s="124">
        <f>TRUNC(SUM(I477:I483),2)</f>
        <v>754.89</v>
      </c>
    </row>
    <row r="476" spans="1:9" s="11" customFormat="1" ht="15.75" customHeight="1">
      <c r="A476" s="51" t="s">
        <v>1</v>
      </c>
      <c r="B476" s="52" t="s">
        <v>2</v>
      </c>
      <c r="C476" s="52" t="s">
        <v>31</v>
      </c>
      <c r="D476" s="53" t="s">
        <v>32</v>
      </c>
      <c r="E476" s="54" t="s">
        <v>33</v>
      </c>
      <c r="F476" s="55" t="s">
        <v>4</v>
      </c>
      <c r="G476" s="56" t="s">
        <v>33</v>
      </c>
      <c r="H476" s="57"/>
      <c r="I476" s="53" t="s">
        <v>71</v>
      </c>
    </row>
    <row r="477" spans="1:9" s="11" customFormat="1" ht="28.5">
      <c r="A477" s="58">
        <v>1</v>
      </c>
      <c r="B477" s="59" t="s">
        <v>125</v>
      </c>
      <c r="C477" s="58" t="s">
        <v>79</v>
      </c>
      <c r="D477" s="70">
        <f>ROUND((D478)*0.05,4)</f>
        <v>0.33</v>
      </c>
      <c r="E477" s="97">
        <v>0.05</v>
      </c>
      <c r="F477" s="86">
        <v>147.75</v>
      </c>
      <c r="G477" s="61" t="s">
        <v>92</v>
      </c>
      <c r="H477" s="62">
        <v>90779</v>
      </c>
      <c r="I477" s="83">
        <f aca="true" t="shared" si="24" ref="I477:I483">TRUNC(D477*F477,4)</f>
        <v>48.7575</v>
      </c>
    </row>
    <row r="478" spans="1:9" s="11" customFormat="1" ht="28.5">
      <c r="A478" s="58">
        <v>2</v>
      </c>
      <c r="B478" s="59" t="s">
        <v>39</v>
      </c>
      <c r="C478" s="58" t="s">
        <v>79</v>
      </c>
      <c r="D478" s="70">
        <f>ROUND(D466*0.6,4)</f>
        <v>6.6</v>
      </c>
      <c r="E478" s="60"/>
      <c r="F478" s="86">
        <v>92.28</v>
      </c>
      <c r="G478" s="61" t="s">
        <v>64</v>
      </c>
      <c r="H478" s="62">
        <v>91677</v>
      </c>
      <c r="I478" s="83">
        <f t="shared" si="24"/>
        <v>609.048</v>
      </c>
    </row>
    <row r="479" spans="1:9" s="11" customFormat="1" ht="15">
      <c r="A479" s="58">
        <v>3</v>
      </c>
      <c r="B479" s="59" t="s">
        <v>48</v>
      </c>
      <c r="C479" s="58" t="s">
        <v>95</v>
      </c>
      <c r="D479" s="70">
        <v>0.2</v>
      </c>
      <c r="E479" s="60"/>
      <c r="F479" s="86">
        <v>240.82</v>
      </c>
      <c r="G479" s="61" t="s">
        <v>77</v>
      </c>
      <c r="H479" s="62" t="s">
        <v>126</v>
      </c>
      <c r="I479" s="83">
        <f t="shared" si="24"/>
        <v>48.164</v>
      </c>
    </row>
    <row r="480" spans="1:9" s="73" customFormat="1" ht="14.25">
      <c r="A480" s="58" t="s">
        <v>90</v>
      </c>
      <c r="B480" s="59" t="s">
        <v>80</v>
      </c>
      <c r="C480" s="69" t="s">
        <v>81</v>
      </c>
      <c r="D480" s="70">
        <f>ROUND((D478)/176,4)</f>
        <v>0.0375</v>
      </c>
      <c r="E480" s="60"/>
      <c r="F480" s="83">
        <f>TRUNC(171.37*(1+Orcamento!$E$106),4)</f>
        <v>190.4434</v>
      </c>
      <c r="G480" s="77" t="s">
        <v>82</v>
      </c>
      <c r="H480" s="72" t="s">
        <v>57</v>
      </c>
      <c r="I480" s="83">
        <f t="shared" si="24"/>
        <v>7.1416</v>
      </c>
    </row>
    <row r="481" spans="1:9" s="73" customFormat="1" ht="14.25">
      <c r="A481" s="58" t="s">
        <v>91</v>
      </c>
      <c r="B481" s="74" t="s">
        <v>83</v>
      </c>
      <c r="C481" s="75" t="s">
        <v>84</v>
      </c>
      <c r="D481" s="201">
        <f>ROUND((D478)/(176*12),4)</f>
        <v>0.0031</v>
      </c>
      <c r="E481" s="76"/>
      <c r="F481" s="83">
        <f>TRUNC(6461.72*(1+Orcamento!$E$107),4)</f>
        <v>6736.9892</v>
      </c>
      <c r="G481" s="71" t="s">
        <v>85</v>
      </c>
      <c r="H481" s="72" t="s">
        <v>86</v>
      </c>
      <c r="I481" s="83">
        <f t="shared" si="24"/>
        <v>20.8846</v>
      </c>
    </row>
    <row r="482" spans="1:9" s="11" customFormat="1" ht="15">
      <c r="A482" s="58" t="s">
        <v>97</v>
      </c>
      <c r="B482" s="59" t="s">
        <v>36</v>
      </c>
      <c r="C482" s="58" t="s">
        <v>95</v>
      </c>
      <c r="D482" s="70">
        <f>ROUND(D478*1,4)</f>
        <v>6.6</v>
      </c>
      <c r="E482" s="60"/>
      <c r="F482" s="86">
        <f>TRUNC(0.35*(1+Orcamento!$E$106),4)</f>
        <v>0.3889</v>
      </c>
      <c r="G482" s="68" t="s">
        <v>82</v>
      </c>
      <c r="H482" s="62" t="s">
        <v>89</v>
      </c>
      <c r="I482" s="83">
        <f t="shared" si="24"/>
        <v>2.5667</v>
      </c>
    </row>
    <row r="483" spans="1:9" s="11" customFormat="1" ht="15">
      <c r="A483" s="58" t="s">
        <v>98</v>
      </c>
      <c r="B483" s="59" t="s">
        <v>37</v>
      </c>
      <c r="C483" s="58" t="s">
        <v>95</v>
      </c>
      <c r="D483" s="70">
        <f>ROUND(D482*0.5,4)</f>
        <v>3.3</v>
      </c>
      <c r="E483" s="60"/>
      <c r="F483" s="86">
        <f>TRUNC(5*(1+Orcamento!$E$106),4)</f>
        <v>5.5565</v>
      </c>
      <c r="G483" s="68" t="s">
        <v>82</v>
      </c>
      <c r="H483" s="62" t="s">
        <v>87</v>
      </c>
      <c r="I483" s="83">
        <f t="shared" si="24"/>
        <v>18.3364</v>
      </c>
    </row>
    <row r="484" s="11" customFormat="1" ht="15">
      <c r="B484" s="6"/>
    </row>
    <row r="485" spans="2:5" s="11" customFormat="1" ht="15">
      <c r="B485" s="6"/>
      <c r="C485" s="7"/>
      <c r="D485" s="7"/>
      <c r="E485" s="7"/>
    </row>
    <row r="486" spans="1:9" s="11" customFormat="1" ht="15">
      <c r="A486" s="46" t="s">
        <v>29</v>
      </c>
      <c r="B486" s="46" t="s">
        <v>30</v>
      </c>
      <c r="C486" s="47"/>
      <c r="D486" s="47"/>
      <c r="E486" s="47"/>
      <c r="F486" s="47"/>
      <c r="G486" s="48"/>
      <c r="H486" s="45" t="s">
        <v>70</v>
      </c>
      <c r="I486" s="45" t="s">
        <v>69</v>
      </c>
    </row>
    <row r="487" spans="1:9" s="11" customFormat="1" ht="15">
      <c r="A487" s="49" t="s">
        <v>255</v>
      </c>
      <c r="B487" s="120" t="s">
        <v>167</v>
      </c>
      <c r="C487" s="121"/>
      <c r="D487" s="121"/>
      <c r="E487" s="121"/>
      <c r="F487" s="121"/>
      <c r="G487" s="122"/>
      <c r="H487" s="123" t="s">
        <v>180</v>
      </c>
      <c r="I487" s="124">
        <f>TRUNC(SUM(I489:I495),2)</f>
        <v>1.48</v>
      </c>
    </row>
    <row r="488" spans="1:9" s="11" customFormat="1" ht="15.75" customHeight="1">
      <c r="A488" s="51" t="s">
        <v>1</v>
      </c>
      <c r="B488" s="52" t="s">
        <v>2</v>
      </c>
      <c r="C488" s="52" t="s">
        <v>31</v>
      </c>
      <c r="D488" s="53" t="s">
        <v>32</v>
      </c>
      <c r="E488" s="54" t="s">
        <v>33</v>
      </c>
      <c r="F488" s="55" t="s">
        <v>4</v>
      </c>
      <c r="G488" s="56" t="s">
        <v>33</v>
      </c>
      <c r="H488" s="57"/>
      <c r="I488" s="53" t="s">
        <v>71</v>
      </c>
    </row>
    <row r="489" spans="1:9" s="11" customFormat="1" ht="28.5">
      <c r="A489" s="58">
        <v>1</v>
      </c>
      <c r="B489" s="59" t="s">
        <v>125</v>
      </c>
      <c r="C489" s="58" t="s">
        <v>79</v>
      </c>
      <c r="D489" s="70">
        <f>ROUND((D490)*0.05,4)</f>
        <v>0.0007</v>
      </c>
      <c r="E489" s="97">
        <v>0.05</v>
      </c>
      <c r="F489" s="86">
        <v>147.75</v>
      </c>
      <c r="G489" s="61" t="s">
        <v>92</v>
      </c>
      <c r="H489" s="62">
        <v>90779</v>
      </c>
      <c r="I489" s="83">
        <f aca="true" t="shared" si="25" ref="I489:I495">TRUNC(D489*F489,4)</f>
        <v>0.1034</v>
      </c>
    </row>
    <row r="490" spans="1:9" s="11" customFormat="1" ht="28.5">
      <c r="A490" s="58">
        <v>2</v>
      </c>
      <c r="B490" s="59" t="s">
        <v>39</v>
      </c>
      <c r="C490" s="58" t="s">
        <v>79</v>
      </c>
      <c r="D490" s="70">
        <v>0.013399999999999999</v>
      </c>
      <c r="E490" s="60"/>
      <c r="F490" s="86">
        <v>92.28</v>
      </c>
      <c r="G490" s="61" t="s">
        <v>64</v>
      </c>
      <c r="H490" s="62">
        <v>91677</v>
      </c>
      <c r="I490" s="83">
        <f t="shared" si="25"/>
        <v>1.2365</v>
      </c>
    </row>
    <row r="491" spans="1:9" s="11" customFormat="1" ht="15">
      <c r="A491" s="58">
        <v>3</v>
      </c>
      <c r="B491" s="59" t="s">
        <v>48</v>
      </c>
      <c r="C491" s="58" t="s">
        <v>95</v>
      </c>
      <c r="D491" s="70">
        <v>0.0002</v>
      </c>
      <c r="E491" s="60"/>
      <c r="F491" s="86">
        <v>240.82</v>
      </c>
      <c r="G491" s="61" t="s">
        <v>77</v>
      </c>
      <c r="H491" s="62" t="s">
        <v>126</v>
      </c>
      <c r="I491" s="83">
        <f t="shared" si="25"/>
        <v>0.0481</v>
      </c>
    </row>
    <row r="492" spans="1:9" s="73" customFormat="1" ht="14.25">
      <c r="A492" s="58" t="s">
        <v>90</v>
      </c>
      <c r="B492" s="59" t="s">
        <v>80</v>
      </c>
      <c r="C492" s="69" t="s">
        <v>81</v>
      </c>
      <c r="D492" s="84">
        <f>ROUND((D490)/176,6)</f>
        <v>7.6E-05</v>
      </c>
      <c r="E492" s="60"/>
      <c r="F492" s="83">
        <f>TRUNC(171.37*(1+Orcamento!$E$106),4)</f>
        <v>190.4434</v>
      </c>
      <c r="G492" s="77" t="s">
        <v>82</v>
      </c>
      <c r="H492" s="72" t="s">
        <v>57</v>
      </c>
      <c r="I492" s="83">
        <f t="shared" si="25"/>
        <v>0.0144</v>
      </c>
    </row>
    <row r="493" spans="1:9" s="73" customFormat="1" ht="14.25">
      <c r="A493" s="58" t="s">
        <v>91</v>
      </c>
      <c r="B493" s="74" t="s">
        <v>83</v>
      </c>
      <c r="C493" s="75" t="s">
        <v>84</v>
      </c>
      <c r="D493" s="85">
        <f>ROUND((D490)/(176*12),6)</f>
        <v>6E-06</v>
      </c>
      <c r="E493" s="76"/>
      <c r="F493" s="83">
        <f>TRUNC(6461.72*(1+Orcamento!$E$107),4)</f>
        <v>6736.9892</v>
      </c>
      <c r="G493" s="71" t="s">
        <v>85</v>
      </c>
      <c r="H493" s="72" t="s">
        <v>86</v>
      </c>
      <c r="I493" s="83">
        <f t="shared" si="25"/>
        <v>0.0404</v>
      </c>
    </row>
    <row r="494" spans="1:9" s="11" customFormat="1" ht="15">
      <c r="A494" s="58" t="s">
        <v>97</v>
      </c>
      <c r="B494" s="59" t="s">
        <v>36</v>
      </c>
      <c r="C494" s="58" t="s">
        <v>95</v>
      </c>
      <c r="D494" s="70">
        <f>ROUND(D490*1,4)</f>
        <v>0.0134</v>
      </c>
      <c r="E494" s="60"/>
      <c r="F494" s="86">
        <f>TRUNC(0.35*(1+Orcamento!$E$106),4)</f>
        <v>0.3889</v>
      </c>
      <c r="G494" s="68" t="s">
        <v>82</v>
      </c>
      <c r="H494" s="62" t="s">
        <v>89</v>
      </c>
      <c r="I494" s="83">
        <f t="shared" si="25"/>
        <v>0.0052</v>
      </c>
    </row>
    <row r="495" spans="1:9" s="11" customFormat="1" ht="15">
      <c r="A495" s="58" t="s">
        <v>98</v>
      </c>
      <c r="B495" s="59" t="s">
        <v>37</v>
      </c>
      <c r="C495" s="58" t="s">
        <v>95</v>
      </c>
      <c r="D495" s="70">
        <f>ROUND(D494*0.5,4)</f>
        <v>0.0067</v>
      </c>
      <c r="E495" s="60"/>
      <c r="F495" s="86">
        <f>TRUNC(5*(1+Orcamento!$E$106),4)</f>
        <v>5.5565</v>
      </c>
      <c r="G495" s="68" t="s">
        <v>82</v>
      </c>
      <c r="H495" s="62" t="s">
        <v>87</v>
      </c>
      <c r="I495" s="83">
        <f t="shared" si="25"/>
        <v>0.0372</v>
      </c>
    </row>
    <row r="496" s="11" customFormat="1" ht="15">
      <c r="B496" s="6"/>
    </row>
    <row r="497" spans="2:5" s="11" customFormat="1" ht="15">
      <c r="B497" s="6"/>
      <c r="C497" s="7"/>
      <c r="D497" s="7"/>
      <c r="E497" s="7"/>
    </row>
    <row r="498" spans="1:9" s="11" customFormat="1" ht="15">
      <c r="A498" s="46" t="s">
        <v>29</v>
      </c>
      <c r="B498" s="46" t="s">
        <v>30</v>
      </c>
      <c r="C498" s="47"/>
      <c r="D498" s="47"/>
      <c r="E498" s="47"/>
      <c r="F498" s="47"/>
      <c r="G498" s="48"/>
      <c r="H498" s="45" t="s">
        <v>70</v>
      </c>
      <c r="I498" s="45" t="s">
        <v>69</v>
      </c>
    </row>
    <row r="499" spans="1:9" s="11" customFormat="1" ht="15">
      <c r="A499" s="49" t="s">
        <v>242</v>
      </c>
      <c r="B499" s="120" t="s">
        <v>389</v>
      </c>
      <c r="C499" s="121"/>
      <c r="D499" s="121"/>
      <c r="E499" s="121"/>
      <c r="F499" s="121"/>
      <c r="G499" s="122"/>
      <c r="H499" s="123" t="s">
        <v>180</v>
      </c>
      <c r="I499" s="124">
        <f>TRUNC(SUM(I501:I507),2)</f>
        <v>0.9</v>
      </c>
    </row>
    <row r="500" spans="1:9" s="11" customFormat="1" ht="15.75" customHeight="1">
      <c r="A500" s="51" t="s">
        <v>1</v>
      </c>
      <c r="B500" s="52" t="s">
        <v>2</v>
      </c>
      <c r="C500" s="52" t="s">
        <v>31</v>
      </c>
      <c r="D500" s="53" t="s">
        <v>32</v>
      </c>
      <c r="E500" s="54" t="s">
        <v>33</v>
      </c>
      <c r="F500" s="55" t="s">
        <v>4</v>
      </c>
      <c r="G500" s="56" t="s">
        <v>33</v>
      </c>
      <c r="H500" s="57"/>
      <c r="I500" s="53" t="s">
        <v>71</v>
      </c>
    </row>
    <row r="501" spans="1:9" s="11" customFormat="1" ht="28.5">
      <c r="A501" s="58">
        <v>1</v>
      </c>
      <c r="B501" s="59" t="s">
        <v>125</v>
      </c>
      <c r="C501" s="58" t="s">
        <v>79</v>
      </c>
      <c r="D501" s="70">
        <f>ROUND((D502)*0.05,4)</f>
        <v>0.0004</v>
      </c>
      <c r="E501" s="97">
        <v>0.05</v>
      </c>
      <c r="F501" s="86">
        <v>147.75</v>
      </c>
      <c r="G501" s="61" t="s">
        <v>92</v>
      </c>
      <c r="H501" s="62">
        <v>90779</v>
      </c>
      <c r="I501" s="83">
        <f aca="true" t="shared" si="26" ref="I501:I507">TRUNC(D501*F501,4)</f>
        <v>0.0591</v>
      </c>
    </row>
    <row r="502" spans="1:9" s="11" customFormat="1" ht="28.5">
      <c r="A502" s="58">
        <v>2</v>
      </c>
      <c r="B502" s="59" t="s">
        <v>39</v>
      </c>
      <c r="C502" s="58" t="s">
        <v>79</v>
      </c>
      <c r="D502" s="70">
        <f>ROUND(D490*0.6,4)</f>
        <v>0.008</v>
      </c>
      <c r="E502" s="60"/>
      <c r="F502" s="86">
        <v>92.28</v>
      </c>
      <c r="G502" s="61" t="s">
        <v>64</v>
      </c>
      <c r="H502" s="62">
        <v>91677</v>
      </c>
      <c r="I502" s="83">
        <f t="shared" si="26"/>
        <v>0.7382</v>
      </c>
    </row>
    <row r="503" spans="1:9" s="11" customFormat="1" ht="15">
      <c r="A503" s="58">
        <v>3</v>
      </c>
      <c r="B503" s="59" t="s">
        <v>48</v>
      </c>
      <c r="C503" s="58" t="s">
        <v>95</v>
      </c>
      <c r="D503" s="70">
        <v>0.0002</v>
      </c>
      <c r="E503" s="60"/>
      <c r="F503" s="86">
        <v>240.82</v>
      </c>
      <c r="G503" s="61" t="s">
        <v>77</v>
      </c>
      <c r="H503" s="62" t="s">
        <v>126</v>
      </c>
      <c r="I503" s="83">
        <f t="shared" si="26"/>
        <v>0.0481</v>
      </c>
    </row>
    <row r="504" spans="1:9" s="73" customFormat="1" ht="14.25">
      <c r="A504" s="58" t="s">
        <v>90</v>
      </c>
      <c r="B504" s="59" t="s">
        <v>80</v>
      </c>
      <c r="C504" s="69" t="s">
        <v>81</v>
      </c>
      <c r="D504" s="84">
        <f>ROUND((D502)/176,6)</f>
        <v>4.5E-05</v>
      </c>
      <c r="E504" s="60"/>
      <c r="F504" s="83">
        <f>TRUNC(171.37*(1+Orcamento!$E$106),4)</f>
        <v>190.4434</v>
      </c>
      <c r="G504" s="77" t="s">
        <v>82</v>
      </c>
      <c r="H504" s="72" t="s">
        <v>57</v>
      </c>
      <c r="I504" s="83">
        <f t="shared" si="26"/>
        <v>0.0085</v>
      </c>
    </row>
    <row r="505" spans="1:9" s="73" customFormat="1" ht="14.25">
      <c r="A505" s="58" t="s">
        <v>91</v>
      </c>
      <c r="B505" s="74" t="s">
        <v>83</v>
      </c>
      <c r="C505" s="75" t="s">
        <v>84</v>
      </c>
      <c r="D505" s="85">
        <f>ROUND((D502)/(176*12),6)</f>
        <v>4E-06</v>
      </c>
      <c r="E505" s="76"/>
      <c r="F505" s="83">
        <f>TRUNC(6461.72*(1+Orcamento!$E$107),4)</f>
        <v>6736.9892</v>
      </c>
      <c r="G505" s="71" t="s">
        <v>85</v>
      </c>
      <c r="H505" s="72" t="s">
        <v>86</v>
      </c>
      <c r="I505" s="83">
        <f t="shared" si="26"/>
        <v>0.0269</v>
      </c>
    </row>
    <row r="506" spans="1:9" s="11" customFormat="1" ht="15">
      <c r="A506" s="58" t="s">
        <v>97</v>
      </c>
      <c r="B506" s="59" t="s">
        <v>36</v>
      </c>
      <c r="C506" s="58" t="s">
        <v>95</v>
      </c>
      <c r="D506" s="70">
        <f>ROUND(D502*1,4)</f>
        <v>0.008</v>
      </c>
      <c r="E506" s="60"/>
      <c r="F506" s="86">
        <f>TRUNC(0.35*(1+Orcamento!$E$106),4)</f>
        <v>0.3889</v>
      </c>
      <c r="G506" s="68" t="s">
        <v>82</v>
      </c>
      <c r="H506" s="62" t="s">
        <v>89</v>
      </c>
      <c r="I506" s="83">
        <f t="shared" si="26"/>
        <v>0.0031</v>
      </c>
    </row>
    <row r="507" spans="1:9" s="11" customFormat="1" ht="15">
      <c r="A507" s="58" t="s">
        <v>98</v>
      </c>
      <c r="B507" s="59" t="s">
        <v>37</v>
      </c>
      <c r="C507" s="58" t="s">
        <v>95</v>
      </c>
      <c r="D507" s="70">
        <f>ROUND(D506*0.5,4)</f>
        <v>0.004</v>
      </c>
      <c r="E507" s="60"/>
      <c r="F507" s="86">
        <f>TRUNC(5*(1+Orcamento!$E$106),4)</f>
        <v>5.5565</v>
      </c>
      <c r="G507" s="68" t="s">
        <v>82</v>
      </c>
      <c r="H507" s="62" t="s">
        <v>87</v>
      </c>
      <c r="I507" s="83">
        <f t="shared" si="26"/>
        <v>0.0222</v>
      </c>
    </row>
    <row r="508" s="11" customFormat="1" ht="15">
      <c r="B508" s="6"/>
    </row>
    <row r="509" spans="2:5" s="11" customFormat="1" ht="15">
      <c r="B509" s="6"/>
      <c r="C509" s="7"/>
      <c r="D509" s="7"/>
      <c r="E509" s="7"/>
    </row>
    <row r="510" spans="1:9" s="11" customFormat="1" ht="15">
      <c r="A510" s="46" t="s">
        <v>29</v>
      </c>
      <c r="B510" s="46" t="s">
        <v>30</v>
      </c>
      <c r="C510" s="47"/>
      <c r="D510" s="47"/>
      <c r="E510" s="47"/>
      <c r="F510" s="47"/>
      <c r="G510" s="48"/>
      <c r="H510" s="45" t="s">
        <v>70</v>
      </c>
      <c r="I510" s="45" t="s">
        <v>69</v>
      </c>
    </row>
    <row r="511" spans="1:9" s="11" customFormat="1" ht="15">
      <c r="A511" s="49" t="s">
        <v>256</v>
      </c>
      <c r="B511" s="120" t="s">
        <v>163</v>
      </c>
      <c r="C511" s="121"/>
      <c r="D511" s="121"/>
      <c r="E511" s="121"/>
      <c r="F511" s="121"/>
      <c r="G511" s="122"/>
      <c r="H511" s="123" t="s">
        <v>10</v>
      </c>
      <c r="I511" s="124">
        <f>TRUNC(SUM(I513:I519),2)</f>
        <v>1226.28</v>
      </c>
    </row>
    <row r="512" spans="1:9" s="11" customFormat="1" ht="15.75" customHeight="1">
      <c r="A512" s="51" t="s">
        <v>1</v>
      </c>
      <c r="B512" s="52" t="s">
        <v>2</v>
      </c>
      <c r="C512" s="52" t="s">
        <v>31</v>
      </c>
      <c r="D512" s="53" t="s">
        <v>32</v>
      </c>
      <c r="E512" s="54" t="s">
        <v>33</v>
      </c>
      <c r="F512" s="55" t="s">
        <v>4</v>
      </c>
      <c r="G512" s="56" t="s">
        <v>33</v>
      </c>
      <c r="H512" s="57"/>
      <c r="I512" s="53" t="s">
        <v>71</v>
      </c>
    </row>
    <row r="513" spans="1:9" s="11" customFormat="1" ht="28.5">
      <c r="A513" s="58">
        <v>1</v>
      </c>
      <c r="B513" s="59" t="s">
        <v>125</v>
      </c>
      <c r="C513" s="58" t="s">
        <v>79</v>
      </c>
      <c r="D513" s="70">
        <f>ROUND((D514)*0.05,4)</f>
        <v>0.55</v>
      </c>
      <c r="E513" s="97">
        <v>0.05</v>
      </c>
      <c r="F513" s="86">
        <v>147.75</v>
      </c>
      <c r="G513" s="61" t="s">
        <v>92</v>
      </c>
      <c r="H513" s="62">
        <v>90779</v>
      </c>
      <c r="I513" s="83">
        <f aca="true" t="shared" si="27" ref="I513:I519">TRUNC(D513*F513,4)</f>
        <v>81.2625</v>
      </c>
    </row>
    <row r="514" spans="1:9" s="11" customFormat="1" ht="28.5">
      <c r="A514" s="58">
        <v>2</v>
      </c>
      <c r="B514" s="59" t="s">
        <v>39</v>
      </c>
      <c r="C514" s="58" t="s">
        <v>79</v>
      </c>
      <c r="D514" s="70">
        <v>11</v>
      </c>
      <c r="E514" s="60"/>
      <c r="F514" s="86">
        <v>92.28</v>
      </c>
      <c r="G514" s="61" t="s">
        <v>64</v>
      </c>
      <c r="H514" s="62">
        <v>91677</v>
      </c>
      <c r="I514" s="83">
        <f t="shared" si="27"/>
        <v>1015.08</v>
      </c>
    </row>
    <row r="515" spans="1:9" s="11" customFormat="1" ht="15">
      <c r="A515" s="58">
        <v>3</v>
      </c>
      <c r="B515" s="59" t="s">
        <v>48</v>
      </c>
      <c r="C515" s="58" t="s">
        <v>95</v>
      </c>
      <c r="D515" s="70">
        <v>0.2</v>
      </c>
      <c r="E515" s="60"/>
      <c r="F515" s="86">
        <v>240.82</v>
      </c>
      <c r="G515" s="61" t="s">
        <v>77</v>
      </c>
      <c r="H515" s="62" t="s">
        <v>126</v>
      </c>
      <c r="I515" s="83">
        <f t="shared" si="27"/>
        <v>48.164</v>
      </c>
    </row>
    <row r="516" spans="1:9" s="73" customFormat="1" ht="14.25">
      <c r="A516" s="58" t="s">
        <v>90</v>
      </c>
      <c r="B516" s="59" t="s">
        <v>80</v>
      </c>
      <c r="C516" s="69" t="s">
        <v>81</v>
      </c>
      <c r="D516" s="70">
        <f>ROUND((D514)/176,4)</f>
        <v>0.0625</v>
      </c>
      <c r="E516" s="60"/>
      <c r="F516" s="83">
        <f>TRUNC(171.37*(1+Orcamento!$E$106),4)</f>
        <v>190.4434</v>
      </c>
      <c r="G516" s="77" t="s">
        <v>82</v>
      </c>
      <c r="H516" s="72" t="s">
        <v>57</v>
      </c>
      <c r="I516" s="83">
        <f t="shared" si="27"/>
        <v>11.9027</v>
      </c>
    </row>
    <row r="517" spans="1:9" s="73" customFormat="1" ht="14.25">
      <c r="A517" s="58" t="s">
        <v>91</v>
      </c>
      <c r="B517" s="74" t="s">
        <v>83</v>
      </c>
      <c r="C517" s="75" t="s">
        <v>84</v>
      </c>
      <c r="D517" s="201">
        <f>ROUND((D514)/(176*12),4)</f>
        <v>0.0052</v>
      </c>
      <c r="E517" s="76"/>
      <c r="F517" s="83">
        <f>TRUNC(6461.72*(1+Orcamento!$E$107),4)</f>
        <v>6736.9892</v>
      </c>
      <c r="G517" s="71" t="s">
        <v>85</v>
      </c>
      <c r="H517" s="72" t="s">
        <v>86</v>
      </c>
      <c r="I517" s="83">
        <f t="shared" si="27"/>
        <v>35.0323</v>
      </c>
    </row>
    <row r="518" spans="1:9" s="11" customFormat="1" ht="15">
      <c r="A518" s="58" t="s">
        <v>97</v>
      </c>
      <c r="B518" s="59" t="s">
        <v>36</v>
      </c>
      <c r="C518" s="58" t="s">
        <v>95</v>
      </c>
      <c r="D518" s="70">
        <f>ROUND(D514*1,4)</f>
        <v>11</v>
      </c>
      <c r="E518" s="60"/>
      <c r="F518" s="86">
        <f>TRUNC(0.35*(1+Orcamento!$E$106),4)</f>
        <v>0.3889</v>
      </c>
      <c r="G518" s="68" t="s">
        <v>82</v>
      </c>
      <c r="H518" s="62" t="s">
        <v>89</v>
      </c>
      <c r="I518" s="83">
        <f t="shared" si="27"/>
        <v>4.2779</v>
      </c>
    </row>
    <row r="519" spans="1:9" s="11" customFormat="1" ht="15">
      <c r="A519" s="58" t="s">
        <v>98</v>
      </c>
      <c r="B519" s="59" t="s">
        <v>37</v>
      </c>
      <c r="C519" s="58" t="s">
        <v>95</v>
      </c>
      <c r="D519" s="70">
        <f>ROUND(D518*0.5,4)</f>
        <v>5.5</v>
      </c>
      <c r="E519" s="60"/>
      <c r="F519" s="86">
        <f>TRUNC(5*(1+Orcamento!$E$106),4)</f>
        <v>5.5565</v>
      </c>
      <c r="G519" s="68" t="s">
        <v>82</v>
      </c>
      <c r="H519" s="62" t="s">
        <v>87</v>
      </c>
      <c r="I519" s="83">
        <f t="shared" si="27"/>
        <v>30.5607</v>
      </c>
    </row>
    <row r="520" s="11" customFormat="1" ht="15">
      <c r="B520" s="6"/>
    </row>
    <row r="521" spans="2:5" s="11" customFormat="1" ht="15">
      <c r="B521" s="6"/>
      <c r="C521" s="7"/>
      <c r="D521" s="7"/>
      <c r="E521" s="7"/>
    </row>
    <row r="522" spans="1:9" s="11" customFormat="1" ht="15">
      <c r="A522" s="46" t="s">
        <v>29</v>
      </c>
      <c r="B522" s="46" t="s">
        <v>30</v>
      </c>
      <c r="C522" s="47"/>
      <c r="D522" s="47"/>
      <c r="E522" s="47"/>
      <c r="F522" s="47"/>
      <c r="G522" s="48"/>
      <c r="H522" s="45" t="s">
        <v>70</v>
      </c>
      <c r="I522" s="45" t="s">
        <v>69</v>
      </c>
    </row>
    <row r="523" spans="1:9" s="11" customFormat="1" ht="15">
      <c r="A523" s="49" t="s">
        <v>243</v>
      </c>
      <c r="B523" s="120" t="s">
        <v>390</v>
      </c>
      <c r="C523" s="121"/>
      <c r="D523" s="121"/>
      <c r="E523" s="121"/>
      <c r="F523" s="121"/>
      <c r="G523" s="122"/>
      <c r="H523" s="123" t="s">
        <v>10</v>
      </c>
      <c r="I523" s="124">
        <f>TRUNC(SUM(I525:I531),2)</f>
        <v>754.89</v>
      </c>
    </row>
    <row r="524" spans="1:9" s="11" customFormat="1" ht="15.75" customHeight="1">
      <c r="A524" s="51" t="s">
        <v>1</v>
      </c>
      <c r="B524" s="52" t="s">
        <v>2</v>
      </c>
      <c r="C524" s="52" t="s">
        <v>31</v>
      </c>
      <c r="D524" s="53" t="s">
        <v>32</v>
      </c>
      <c r="E524" s="54" t="s">
        <v>33</v>
      </c>
      <c r="F524" s="55" t="s">
        <v>4</v>
      </c>
      <c r="G524" s="56" t="s">
        <v>33</v>
      </c>
      <c r="H524" s="57"/>
      <c r="I524" s="53" t="s">
        <v>71</v>
      </c>
    </row>
    <row r="525" spans="1:9" s="11" customFormat="1" ht="28.5">
      <c r="A525" s="58">
        <v>1</v>
      </c>
      <c r="B525" s="59" t="s">
        <v>125</v>
      </c>
      <c r="C525" s="58" t="s">
        <v>79</v>
      </c>
      <c r="D525" s="70">
        <f>ROUND((D526)*0.05,4)</f>
        <v>0.33</v>
      </c>
      <c r="E525" s="97">
        <v>0.05</v>
      </c>
      <c r="F525" s="86">
        <v>147.75</v>
      </c>
      <c r="G525" s="61" t="s">
        <v>92</v>
      </c>
      <c r="H525" s="62">
        <v>90779</v>
      </c>
      <c r="I525" s="83">
        <f aca="true" t="shared" si="28" ref="I525:I531">TRUNC(D525*F525,4)</f>
        <v>48.7575</v>
      </c>
    </row>
    <row r="526" spans="1:9" s="11" customFormat="1" ht="28.5">
      <c r="A526" s="58">
        <v>2</v>
      </c>
      <c r="B526" s="59" t="s">
        <v>39</v>
      </c>
      <c r="C526" s="58" t="s">
        <v>79</v>
      </c>
      <c r="D526" s="70">
        <f>ROUND(D514*0.6,4)</f>
        <v>6.6</v>
      </c>
      <c r="E526" s="60"/>
      <c r="F526" s="86">
        <v>92.28</v>
      </c>
      <c r="G526" s="61" t="s">
        <v>64</v>
      </c>
      <c r="H526" s="62">
        <v>91677</v>
      </c>
      <c r="I526" s="83">
        <f t="shared" si="28"/>
        <v>609.048</v>
      </c>
    </row>
    <row r="527" spans="1:9" s="11" customFormat="1" ht="15">
      <c r="A527" s="58">
        <v>3</v>
      </c>
      <c r="B527" s="59" t="s">
        <v>48</v>
      </c>
      <c r="C527" s="58" t="s">
        <v>95</v>
      </c>
      <c r="D527" s="70">
        <v>0.2</v>
      </c>
      <c r="E527" s="60"/>
      <c r="F527" s="86">
        <v>240.82</v>
      </c>
      <c r="G527" s="61" t="s">
        <v>77</v>
      </c>
      <c r="H527" s="62" t="s">
        <v>126</v>
      </c>
      <c r="I527" s="83">
        <f t="shared" si="28"/>
        <v>48.164</v>
      </c>
    </row>
    <row r="528" spans="1:9" s="73" customFormat="1" ht="14.25">
      <c r="A528" s="58" t="s">
        <v>90</v>
      </c>
      <c r="B528" s="59" t="s">
        <v>80</v>
      </c>
      <c r="C528" s="69" t="s">
        <v>81</v>
      </c>
      <c r="D528" s="70">
        <f>ROUND((D526)/176,4)</f>
        <v>0.0375</v>
      </c>
      <c r="E528" s="60"/>
      <c r="F528" s="83">
        <f>TRUNC(171.37*(1+Orcamento!$E$106),4)</f>
        <v>190.4434</v>
      </c>
      <c r="G528" s="77" t="s">
        <v>82</v>
      </c>
      <c r="H528" s="72" t="s">
        <v>57</v>
      </c>
      <c r="I528" s="83">
        <f t="shared" si="28"/>
        <v>7.1416</v>
      </c>
    </row>
    <row r="529" spans="1:9" s="73" customFormat="1" ht="14.25">
      <c r="A529" s="58" t="s">
        <v>91</v>
      </c>
      <c r="B529" s="74" t="s">
        <v>83</v>
      </c>
      <c r="C529" s="75" t="s">
        <v>84</v>
      </c>
      <c r="D529" s="201">
        <f>ROUND((D526)/(176*12),4)</f>
        <v>0.0031</v>
      </c>
      <c r="E529" s="76"/>
      <c r="F529" s="83">
        <f>TRUNC(6461.72*(1+Orcamento!$E$107),4)</f>
        <v>6736.9892</v>
      </c>
      <c r="G529" s="71" t="s">
        <v>85</v>
      </c>
      <c r="H529" s="72" t="s">
        <v>86</v>
      </c>
      <c r="I529" s="83">
        <f t="shared" si="28"/>
        <v>20.8846</v>
      </c>
    </row>
    <row r="530" spans="1:9" s="11" customFormat="1" ht="15">
      <c r="A530" s="58" t="s">
        <v>97</v>
      </c>
      <c r="B530" s="59" t="s">
        <v>36</v>
      </c>
      <c r="C530" s="58" t="s">
        <v>95</v>
      </c>
      <c r="D530" s="70">
        <f>ROUND(D526*1,4)</f>
        <v>6.6</v>
      </c>
      <c r="E530" s="60"/>
      <c r="F530" s="86">
        <f>TRUNC(0.35*(1+Orcamento!$E$106),4)</f>
        <v>0.3889</v>
      </c>
      <c r="G530" s="68" t="s">
        <v>82</v>
      </c>
      <c r="H530" s="62" t="s">
        <v>89</v>
      </c>
      <c r="I530" s="83">
        <f t="shared" si="28"/>
        <v>2.5667</v>
      </c>
    </row>
    <row r="531" spans="1:9" s="11" customFormat="1" ht="15">
      <c r="A531" s="58" t="s">
        <v>98</v>
      </c>
      <c r="B531" s="59" t="s">
        <v>37</v>
      </c>
      <c r="C531" s="58" t="s">
        <v>95</v>
      </c>
      <c r="D531" s="70">
        <f>ROUND(D530*0.5,4)</f>
        <v>3.3</v>
      </c>
      <c r="E531" s="60"/>
      <c r="F531" s="86">
        <f>TRUNC(5*(1+Orcamento!$E$106),4)</f>
        <v>5.5565</v>
      </c>
      <c r="G531" s="68" t="s">
        <v>82</v>
      </c>
      <c r="H531" s="62" t="s">
        <v>87</v>
      </c>
      <c r="I531" s="83">
        <f t="shared" si="28"/>
        <v>18.3364</v>
      </c>
    </row>
    <row r="532" s="11" customFormat="1" ht="15">
      <c r="B532" s="6"/>
    </row>
    <row r="533" spans="2:5" s="11" customFormat="1" ht="15">
      <c r="B533" s="6"/>
      <c r="C533" s="7"/>
      <c r="D533" s="7"/>
      <c r="E533" s="7"/>
    </row>
    <row r="534" spans="1:9" s="11" customFormat="1" ht="15">
      <c r="A534" s="46" t="s">
        <v>29</v>
      </c>
      <c r="B534" s="46" t="s">
        <v>30</v>
      </c>
      <c r="C534" s="47"/>
      <c r="D534" s="47"/>
      <c r="E534" s="47"/>
      <c r="F534" s="47"/>
      <c r="G534" s="48"/>
      <c r="H534" s="45" t="s">
        <v>70</v>
      </c>
      <c r="I534" s="45" t="s">
        <v>69</v>
      </c>
    </row>
    <row r="535" spans="1:9" s="11" customFormat="1" ht="15">
      <c r="A535" s="49" t="s">
        <v>257</v>
      </c>
      <c r="B535" s="120" t="s">
        <v>164</v>
      </c>
      <c r="C535" s="121"/>
      <c r="D535" s="121"/>
      <c r="E535" s="121"/>
      <c r="F535" s="121"/>
      <c r="G535" s="122"/>
      <c r="H535" s="123" t="s">
        <v>180</v>
      </c>
      <c r="I535" s="124">
        <f>TRUNC(SUM(I537:I543),2)</f>
        <v>4.98</v>
      </c>
    </row>
    <row r="536" spans="1:9" s="11" customFormat="1" ht="15.75" customHeight="1">
      <c r="A536" s="51" t="s">
        <v>1</v>
      </c>
      <c r="B536" s="52" t="s">
        <v>2</v>
      </c>
      <c r="C536" s="52" t="s">
        <v>31</v>
      </c>
      <c r="D536" s="53" t="s">
        <v>32</v>
      </c>
      <c r="E536" s="54" t="s">
        <v>33</v>
      </c>
      <c r="F536" s="55" t="s">
        <v>4</v>
      </c>
      <c r="G536" s="56" t="s">
        <v>33</v>
      </c>
      <c r="H536" s="57"/>
      <c r="I536" s="53" t="s">
        <v>71</v>
      </c>
    </row>
    <row r="537" spans="1:9" s="11" customFormat="1" ht="28.5">
      <c r="A537" s="58">
        <v>1</v>
      </c>
      <c r="B537" s="59" t="s">
        <v>125</v>
      </c>
      <c r="C537" s="58" t="s">
        <v>79</v>
      </c>
      <c r="D537" s="70">
        <f>ROUND((D538)*0.05,4)</f>
        <v>0.0023</v>
      </c>
      <c r="E537" s="97">
        <v>0.05</v>
      </c>
      <c r="F537" s="86">
        <v>147.75</v>
      </c>
      <c r="G537" s="61" t="s">
        <v>92</v>
      </c>
      <c r="H537" s="62">
        <v>90779</v>
      </c>
      <c r="I537" s="83">
        <f aca="true" t="shared" si="29" ref="I537:I543">TRUNC(D537*F537,4)</f>
        <v>0.3398</v>
      </c>
    </row>
    <row r="538" spans="1:9" s="11" customFormat="1" ht="28.5">
      <c r="A538" s="58">
        <v>2</v>
      </c>
      <c r="B538" s="59" t="s">
        <v>39</v>
      </c>
      <c r="C538" s="58" t="s">
        <v>79</v>
      </c>
      <c r="D538" s="70">
        <v>0.0461</v>
      </c>
      <c r="E538" s="60"/>
      <c r="F538" s="86">
        <v>92.28</v>
      </c>
      <c r="G538" s="61" t="s">
        <v>64</v>
      </c>
      <c r="H538" s="62">
        <v>91677</v>
      </c>
      <c r="I538" s="83">
        <f t="shared" si="29"/>
        <v>4.2541</v>
      </c>
    </row>
    <row r="539" spans="1:9" s="11" customFormat="1" ht="15">
      <c r="A539" s="58">
        <v>3</v>
      </c>
      <c r="B539" s="59" t="s">
        <v>48</v>
      </c>
      <c r="C539" s="58" t="s">
        <v>95</v>
      </c>
      <c r="D539" s="70">
        <v>0.0002</v>
      </c>
      <c r="E539" s="60"/>
      <c r="F539" s="86">
        <v>240.82</v>
      </c>
      <c r="G539" s="61" t="s">
        <v>77</v>
      </c>
      <c r="H539" s="62" t="s">
        <v>126</v>
      </c>
      <c r="I539" s="83">
        <f t="shared" si="29"/>
        <v>0.0481</v>
      </c>
    </row>
    <row r="540" spans="1:9" s="73" customFormat="1" ht="14.25">
      <c r="A540" s="58" t="s">
        <v>90</v>
      </c>
      <c r="B540" s="59" t="s">
        <v>80</v>
      </c>
      <c r="C540" s="69" t="s">
        <v>81</v>
      </c>
      <c r="D540" s="84">
        <f>ROUND((D538)/176,6)</f>
        <v>0.000262</v>
      </c>
      <c r="E540" s="60"/>
      <c r="F540" s="83">
        <f>TRUNC(171.37*(1+Orcamento!$E$106),4)</f>
        <v>190.4434</v>
      </c>
      <c r="G540" s="77" t="s">
        <v>82</v>
      </c>
      <c r="H540" s="72" t="s">
        <v>57</v>
      </c>
      <c r="I540" s="83">
        <f t="shared" si="29"/>
        <v>0.0498</v>
      </c>
    </row>
    <row r="541" spans="1:9" s="73" customFormat="1" ht="14.25">
      <c r="A541" s="58" t="s">
        <v>91</v>
      </c>
      <c r="B541" s="74" t="s">
        <v>83</v>
      </c>
      <c r="C541" s="75" t="s">
        <v>84</v>
      </c>
      <c r="D541" s="85">
        <f>ROUND((D538)/(176*12),6)</f>
        <v>2.2E-05</v>
      </c>
      <c r="E541" s="76"/>
      <c r="F541" s="83">
        <f>TRUNC(6461.72*(1+Orcamento!$E$107),4)</f>
        <v>6736.9892</v>
      </c>
      <c r="G541" s="71" t="s">
        <v>85</v>
      </c>
      <c r="H541" s="72" t="s">
        <v>86</v>
      </c>
      <c r="I541" s="83">
        <f t="shared" si="29"/>
        <v>0.1482</v>
      </c>
    </row>
    <row r="542" spans="1:9" s="11" customFormat="1" ht="15">
      <c r="A542" s="58" t="s">
        <v>97</v>
      </c>
      <c r="B542" s="59" t="s">
        <v>36</v>
      </c>
      <c r="C542" s="58" t="s">
        <v>95</v>
      </c>
      <c r="D542" s="70">
        <f>ROUND(D538*1,4)</f>
        <v>0.0461</v>
      </c>
      <c r="E542" s="60"/>
      <c r="F542" s="86">
        <f>TRUNC(0.35*(1+Orcamento!$E$106),4)</f>
        <v>0.3889</v>
      </c>
      <c r="G542" s="68" t="s">
        <v>82</v>
      </c>
      <c r="H542" s="62" t="s">
        <v>89</v>
      </c>
      <c r="I542" s="83">
        <f t="shared" si="29"/>
        <v>0.0179</v>
      </c>
    </row>
    <row r="543" spans="1:9" s="11" customFormat="1" ht="15">
      <c r="A543" s="58" t="s">
        <v>98</v>
      </c>
      <c r="B543" s="59" t="s">
        <v>37</v>
      </c>
      <c r="C543" s="58" t="s">
        <v>95</v>
      </c>
      <c r="D543" s="70">
        <f>ROUND(D542*0.5,4)</f>
        <v>0.0231</v>
      </c>
      <c r="E543" s="60"/>
      <c r="F543" s="86">
        <f>TRUNC(5*(1+Orcamento!$E$106),4)</f>
        <v>5.5565</v>
      </c>
      <c r="G543" s="68" t="s">
        <v>82</v>
      </c>
      <c r="H543" s="62" t="s">
        <v>87</v>
      </c>
      <c r="I543" s="83">
        <f t="shared" si="29"/>
        <v>0.1283</v>
      </c>
    </row>
    <row r="544" s="11" customFormat="1" ht="15">
      <c r="B544" s="6"/>
    </row>
    <row r="545" spans="2:5" s="11" customFormat="1" ht="15">
      <c r="B545" s="6"/>
      <c r="C545" s="7"/>
      <c r="D545" s="7"/>
      <c r="E545" s="7"/>
    </row>
    <row r="546" spans="1:9" s="11" customFormat="1" ht="15">
      <c r="A546" s="46" t="s">
        <v>29</v>
      </c>
      <c r="B546" s="46" t="s">
        <v>30</v>
      </c>
      <c r="C546" s="47"/>
      <c r="D546" s="47"/>
      <c r="E546" s="47"/>
      <c r="F546" s="47"/>
      <c r="G546" s="48"/>
      <c r="H546" s="45" t="s">
        <v>70</v>
      </c>
      <c r="I546" s="45" t="s">
        <v>69</v>
      </c>
    </row>
    <row r="547" spans="1:9" s="11" customFormat="1" ht="15">
      <c r="A547" s="49" t="s">
        <v>244</v>
      </c>
      <c r="B547" s="120" t="s">
        <v>391</v>
      </c>
      <c r="C547" s="121"/>
      <c r="D547" s="121"/>
      <c r="E547" s="121"/>
      <c r="F547" s="121"/>
      <c r="G547" s="122"/>
      <c r="H547" s="123" t="s">
        <v>180</v>
      </c>
      <c r="I547" s="124">
        <f>TRUNC(SUM(I549:I555),2)</f>
        <v>3.01</v>
      </c>
    </row>
    <row r="548" spans="1:9" s="11" customFormat="1" ht="15.75" customHeight="1">
      <c r="A548" s="51" t="s">
        <v>1</v>
      </c>
      <c r="B548" s="52" t="s">
        <v>2</v>
      </c>
      <c r="C548" s="52" t="s">
        <v>31</v>
      </c>
      <c r="D548" s="53" t="s">
        <v>32</v>
      </c>
      <c r="E548" s="54" t="s">
        <v>33</v>
      </c>
      <c r="F548" s="55" t="s">
        <v>4</v>
      </c>
      <c r="G548" s="56" t="s">
        <v>33</v>
      </c>
      <c r="H548" s="57"/>
      <c r="I548" s="53" t="s">
        <v>71</v>
      </c>
    </row>
    <row r="549" spans="1:9" s="11" customFormat="1" ht="28.5">
      <c r="A549" s="58">
        <v>1</v>
      </c>
      <c r="B549" s="59" t="s">
        <v>125</v>
      </c>
      <c r="C549" s="58" t="s">
        <v>79</v>
      </c>
      <c r="D549" s="70">
        <f>ROUND((D550)*0.05,4)</f>
        <v>0.0014</v>
      </c>
      <c r="E549" s="97">
        <v>0.05</v>
      </c>
      <c r="F549" s="86">
        <v>147.75</v>
      </c>
      <c r="G549" s="61" t="s">
        <v>92</v>
      </c>
      <c r="H549" s="62">
        <v>90779</v>
      </c>
      <c r="I549" s="83">
        <f aca="true" t="shared" si="30" ref="I549:I555">TRUNC(D549*F549,4)</f>
        <v>0.2068</v>
      </c>
    </row>
    <row r="550" spans="1:9" s="11" customFormat="1" ht="28.5">
      <c r="A550" s="58">
        <v>2</v>
      </c>
      <c r="B550" s="59" t="s">
        <v>39</v>
      </c>
      <c r="C550" s="58" t="s">
        <v>79</v>
      </c>
      <c r="D550" s="70">
        <f>ROUND(D538*0.6,4)</f>
        <v>0.0277</v>
      </c>
      <c r="E550" s="60"/>
      <c r="F550" s="86">
        <v>92.28</v>
      </c>
      <c r="G550" s="61" t="s">
        <v>64</v>
      </c>
      <c r="H550" s="62">
        <v>91677</v>
      </c>
      <c r="I550" s="83">
        <f t="shared" si="30"/>
        <v>2.5561</v>
      </c>
    </row>
    <row r="551" spans="1:9" s="11" customFormat="1" ht="15">
      <c r="A551" s="58">
        <v>3</v>
      </c>
      <c r="B551" s="59" t="s">
        <v>48</v>
      </c>
      <c r="C551" s="58" t="s">
        <v>95</v>
      </c>
      <c r="D551" s="70">
        <v>0.0002</v>
      </c>
      <c r="E551" s="60"/>
      <c r="F551" s="86">
        <v>240.82</v>
      </c>
      <c r="G551" s="61" t="s">
        <v>77</v>
      </c>
      <c r="H551" s="62" t="s">
        <v>126</v>
      </c>
      <c r="I551" s="83">
        <f t="shared" si="30"/>
        <v>0.0481</v>
      </c>
    </row>
    <row r="552" spans="1:9" s="73" customFormat="1" ht="14.25">
      <c r="A552" s="58" t="s">
        <v>90</v>
      </c>
      <c r="B552" s="59" t="s">
        <v>80</v>
      </c>
      <c r="C552" s="69" t="s">
        <v>81</v>
      </c>
      <c r="D552" s="84">
        <f>ROUND((D550)/176,6)</f>
        <v>0.000157</v>
      </c>
      <c r="E552" s="60"/>
      <c r="F552" s="83">
        <f>TRUNC(171.37*(1+Orcamento!$E$106),4)</f>
        <v>190.4434</v>
      </c>
      <c r="G552" s="77" t="s">
        <v>82</v>
      </c>
      <c r="H552" s="72" t="s">
        <v>57</v>
      </c>
      <c r="I552" s="83">
        <f t="shared" si="30"/>
        <v>0.0298</v>
      </c>
    </row>
    <row r="553" spans="1:9" s="73" customFormat="1" ht="14.25">
      <c r="A553" s="58" t="s">
        <v>91</v>
      </c>
      <c r="B553" s="74" t="s">
        <v>83</v>
      </c>
      <c r="C553" s="75" t="s">
        <v>84</v>
      </c>
      <c r="D553" s="85">
        <f>ROUND((D550)/(176*12),6)</f>
        <v>1.3E-05</v>
      </c>
      <c r="E553" s="76"/>
      <c r="F553" s="83">
        <f>TRUNC(6461.72*(1+Orcamento!$E$107),4)</f>
        <v>6736.9892</v>
      </c>
      <c r="G553" s="71" t="s">
        <v>85</v>
      </c>
      <c r="H553" s="72" t="s">
        <v>86</v>
      </c>
      <c r="I553" s="83">
        <f t="shared" si="30"/>
        <v>0.0875</v>
      </c>
    </row>
    <row r="554" spans="1:9" s="11" customFormat="1" ht="15">
      <c r="A554" s="58" t="s">
        <v>97</v>
      </c>
      <c r="B554" s="59" t="s">
        <v>36</v>
      </c>
      <c r="C554" s="58" t="s">
        <v>95</v>
      </c>
      <c r="D554" s="70">
        <f>ROUND(D550*1,4)</f>
        <v>0.0277</v>
      </c>
      <c r="E554" s="60"/>
      <c r="F554" s="86">
        <f>TRUNC(0.35*(1+Orcamento!$E$106),4)</f>
        <v>0.3889</v>
      </c>
      <c r="G554" s="68" t="s">
        <v>82</v>
      </c>
      <c r="H554" s="62" t="s">
        <v>89</v>
      </c>
      <c r="I554" s="83">
        <f t="shared" si="30"/>
        <v>0.0107</v>
      </c>
    </row>
    <row r="555" spans="1:9" s="11" customFormat="1" ht="15">
      <c r="A555" s="58" t="s">
        <v>98</v>
      </c>
      <c r="B555" s="59" t="s">
        <v>37</v>
      </c>
      <c r="C555" s="58" t="s">
        <v>95</v>
      </c>
      <c r="D555" s="70">
        <f>ROUND(D554*0.5,4)</f>
        <v>0.0139</v>
      </c>
      <c r="E555" s="60"/>
      <c r="F555" s="86">
        <f>TRUNC(5*(1+Orcamento!$E$106),4)</f>
        <v>5.5565</v>
      </c>
      <c r="G555" s="68" t="s">
        <v>82</v>
      </c>
      <c r="H555" s="62" t="s">
        <v>87</v>
      </c>
      <c r="I555" s="83">
        <f t="shared" si="30"/>
        <v>0.0772</v>
      </c>
    </row>
    <row r="556" s="11" customFormat="1" ht="15">
      <c r="B556" s="6"/>
    </row>
    <row r="557" spans="2:5" s="11" customFormat="1" ht="15">
      <c r="B557" s="6"/>
      <c r="C557" s="7"/>
      <c r="D557" s="7"/>
      <c r="E557" s="7"/>
    </row>
    <row r="558" spans="1:9" s="11" customFormat="1" ht="15">
      <c r="A558" s="46" t="s">
        <v>29</v>
      </c>
      <c r="B558" s="46" t="s">
        <v>30</v>
      </c>
      <c r="C558" s="47"/>
      <c r="D558" s="47"/>
      <c r="E558" s="47"/>
      <c r="F558" s="47"/>
      <c r="G558" s="48"/>
      <c r="H558" s="45" t="s">
        <v>70</v>
      </c>
      <c r="I558" s="45" t="s">
        <v>69</v>
      </c>
    </row>
    <row r="559" spans="1:9" s="11" customFormat="1" ht="15">
      <c r="A559" s="49" t="s">
        <v>258</v>
      </c>
      <c r="B559" s="120" t="s">
        <v>412</v>
      </c>
      <c r="C559" s="121"/>
      <c r="D559" s="121"/>
      <c r="E559" s="121"/>
      <c r="F559" s="121"/>
      <c r="G559" s="122"/>
      <c r="H559" s="123" t="s">
        <v>180</v>
      </c>
      <c r="I559" s="124">
        <f>TRUNC(SUM(I561:I567),2)</f>
        <v>2.52</v>
      </c>
    </row>
    <row r="560" spans="1:9" s="11" customFormat="1" ht="15.75" customHeight="1">
      <c r="A560" s="51" t="s">
        <v>1</v>
      </c>
      <c r="B560" s="52" t="s">
        <v>2</v>
      </c>
      <c r="C560" s="52" t="s">
        <v>31</v>
      </c>
      <c r="D560" s="53" t="s">
        <v>32</v>
      </c>
      <c r="E560" s="54" t="s">
        <v>33</v>
      </c>
      <c r="F560" s="55" t="s">
        <v>4</v>
      </c>
      <c r="G560" s="56" t="s">
        <v>33</v>
      </c>
      <c r="H560" s="57"/>
      <c r="I560" s="53" t="s">
        <v>71</v>
      </c>
    </row>
    <row r="561" spans="1:9" s="11" customFormat="1" ht="28.5">
      <c r="A561" s="58">
        <v>1</v>
      </c>
      <c r="B561" s="59" t="s">
        <v>125</v>
      </c>
      <c r="C561" s="58" t="s">
        <v>79</v>
      </c>
      <c r="D561" s="70">
        <f>ROUND((D562)*0.05,4)</f>
        <v>0.0012</v>
      </c>
      <c r="E561" s="97">
        <v>0.05</v>
      </c>
      <c r="F561" s="86">
        <v>147.75</v>
      </c>
      <c r="G561" s="61" t="s">
        <v>92</v>
      </c>
      <c r="H561" s="62">
        <v>90779</v>
      </c>
      <c r="I561" s="83">
        <f aca="true" t="shared" si="31" ref="I561:I567">TRUNC(D561*F561,4)</f>
        <v>0.1773</v>
      </c>
    </row>
    <row r="562" spans="1:9" s="11" customFormat="1" ht="28.5">
      <c r="A562" s="58">
        <v>2</v>
      </c>
      <c r="B562" s="59" t="s">
        <v>39</v>
      </c>
      <c r="C562" s="58" t="s">
        <v>79</v>
      </c>
      <c r="D562" s="70">
        <v>0.0231</v>
      </c>
      <c r="E562" s="60"/>
      <c r="F562" s="86">
        <v>92.28</v>
      </c>
      <c r="G562" s="61" t="s">
        <v>64</v>
      </c>
      <c r="H562" s="62">
        <v>91677</v>
      </c>
      <c r="I562" s="83">
        <f t="shared" si="31"/>
        <v>2.1316</v>
      </c>
    </row>
    <row r="563" spans="1:9" s="11" customFormat="1" ht="15">
      <c r="A563" s="58">
        <v>3</v>
      </c>
      <c r="B563" s="59" t="s">
        <v>48</v>
      </c>
      <c r="C563" s="58" t="s">
        <v>95</v>
      </c>
      <c r="D563" s="70">
        <v>0.0002</v>
      </c>
      <c r="E563" s="60"/>
      <c r="F563" s="86">
        <v>240.82</v>
      </c>
      <c r="G563" s="61" t="s">
        <v>77</v>
      </c>
      <c r="H563" s="62" t="s">
        <v>126</v>
      </c>
      <c r="I563" s="83">
        <f t="shared" si="31"/>
        <v>0.0481</v>
      </c>
    </row>
    <row r="564" spans="1:9" s="73" customFormat="1" ht="14.25">
      <c r="A564" s="58" t="s">
        <v>90</v>
      </c>
      <c r="B564" s="59" t="s">
        <v>80</v>
      </c>
      <c r="C564" s="69" t="s">
        <v>81</v>
      </c>
      <c r="D564" s="84">
        <f>ROUND((D562)/176,6)</f>
        <v>0.000131</v>
      </c>
      <c r="E564" s="60"/>
      <c r="F564" s="83">
        <f>TRUNC(171.37*(1+Orcamento!$E$106),4)</f>
        <v>190.4434</v>
      </c>
      <c r="G564" s="77" t="s">
        <v>82</v>
      </c>
      <c r="H564" s="72" t="s">
        <v>57</v>
      </c>
      <c r="I564" s="83">
        <f t="shared" si="31"/>
        <v>0.0249</v>
      </c>
    </row>
    <row r="565" spans="1:9" s="73" customFormat="1" ht="14.25">
      <c r="A565" s="58" t="s">
        <v>91</v>
      </c>
      <c r="B565" s="74" t="s">
        <v>83</v>
      </c>
      <c r="C565" s="75" t="s">
        <v>84</v>
      </c>
      <c r="D565" s="85">
        <f>ROUND((D562)/(176*12),6)</f>
        <v>1.1E-05</v>
      </c>
      <c r="E565" s="76"/>
      <c r="F565" s="83">
        <f>TRUNC(6461.72*(1+Orcamento!$E$107),4)</f>
        <v>6736.9892</v>
      </c>
      <c r="G565" s="71" t="s">
        <v>85</v>
      </c>
      <c r="H565" s="72" t="s">
        <v>86</v>
      </c>
      <c r="I565" s="83">
        <f t="shared" si="31"/>
        <v>0.0741</v>
      </c>
    </row>
    <row r="566" spans="1:9" s="11" customFormat="1" ht="15">
      <c r="A566" s="58" t="s">
        <v>97</v>
      </c>
      <c r="B566" s="59" t="s">
        <v>36</v>
      </c>
      <c r="C566" s="58" t="s">
        <v>95</v>
      </c>
      <c r="D566" s="70">
        <f>ROUND(D562*1,4)</f>
        <v>0.0231</v>
      </c>
      <c r="E566" s="60"/>
      <c r="F566" s="86">
        <f>TRUNC(0.35*(1+Orcamento!$E$106),4)</f>
        <v>0.3889</v>
      </c>
      <c r="G566" s="68" t="s">
        <v>82</v>
      </c>
      <c r="H566" s="62" t="s">
        <v>89</v>
      </c>
      <c r="I566" s="83">
        <f t="shared" si="31"/>
        <v>0.0089</v>
      </c>
    </row>
    <row r="567" spans="1:9" s="11" customFormat="1" ht="15">
      <c r="A567" s="58" t="s">
        <v>98</v>
      </c>
      <c r="B567" s="59" t="s">
        <v>37</v>
      </c>
      <c r="C567" s="58" t="s">
        <v>95</v>
      </c>
      <c r="D567" s="70">
        <f>ROUND(D566*0.5,4)</f>
        <v>0.0116</v>
      </c>
      <c r="E567" s="60"/>
      <c r="F567" s="86">
        <f>TRUNC(5*(1+Orcamento!$E$106),4)</f>
        <v>5.5565</v>
      </c>
      <c r="G567" s="68" t="s">
        <v>82</v>
      </c>
      <c r="H567" s="62" t="s">
        <v>87</v>
      </c>
      <c r="I567" s="83">
        <f t="shared" si="31"/>
        <v>0.0644</v>
      </c>
    </row>
    <row r="568" s="11" customFormat="1" ht="15">
      <c r="B568" s="6"/>
    </row>
    <row r="569" spans="2:5" s="11" customFormat="1" ht="15">
      <c r="B569" s="6"/>
      <c r="C569" s="7"/>
      <c r="D569" s="7"/>
      <c r="E569" s="7"/>
    </row>
    <row r="570" spans="1:9" s="11" customFormat="1" ht="15">
      <c r="A570" s="46" t="s">
        <v>29</v>
      </c>
      <c r="B570" s="46" t="s">
        <v>30</v>
      </c>
      <c r="C570" s="47"/>
      <c r="D570" s="47"/>
      <c r="E570" s="47"/>
      <c r="F570" s="47"/>
      <c r="G570" s="48"/>
      <c r="H570" s="45" t="s">
        <v>70</v>
      </c>
      <c r="I570" s="45" t="s">
        <v>69</v>
      </c>
    </row>
    <row r="571" spans="1:9" s="11" customFormat="1" ht="15">
      <c r="A571" s="49" t="s">
        <v>245</v>
      </c>
      <c r="B571" s="120" t="s">
        <v>414</v>
      </c>
      <c r="C571" s="121"/>
      <c r="D571" s="121"/>
      <c r="E571" s="121"/>
      <c r="F571" s="121"/>
      <c r="G571" s="122"/>
      <c r="H571" s="123" t="s">
        <v>180</v>
      </c>
      <c r="I571" s="124">
        <f>TRUNC(SUM(I573:I579),2)</f>
        <v>1.54</v>
      </c>
    </row>
    <row r="572" spans="1:9" s="11" customFormat="1" ht="15.75" customHeight="1">
      <c r="A572" s="51" t="s">
        <v>1</v>
      </c>
      <c r="B572" s="52" t="s">
        <v>2</v>
      </c>
      <c r="C572" s="52" t="s">
        <v>31</v>
      </c>
      <c r="D572" s="53" t="s">
        <v>32</v>
      </c>
      <c r="E572" s="54" t="s">
        <v>33</v>
      </c>
      <c r="F572" s="55" t="s">
        <v>4</v>
      </c>
      <c r="G572" s="56" t="s">
        <v>33</v>
      </c>
      <c r="H572" s="57"/>
      <c r="I572" s="53" t="s">
        <v>71</v>
      </c>
    </row>
    <row r="573" spans="1:9" s="11" customFormat="1" ht="28.5">
      <c r="A573" s="58">
        <v>1</v>
      </c>
      <c r="B573" s="59" t="s">
        <v>125</v>
      </c>
      <c r="C573" s="58" t="s">
        <v>79</v>
      </c>
      <c r="D573" s="70">
        <f>ROUND((D574)*0.05,4)</f>
        <v>0.0007</v>
      </c>
      <c r="E573" s="97">
        <v>0.05</v>
      </c>
      <c r="F573" s="86">
        <v>147.75</v>
      </c>
      <c r="G573" s="61" t="s">
        <v>92</v>
      </c>
      <c r="H573" s="62">
        <v>90779</v>
      </c>
      <c r="I573" s="83">
        <f aca="true" t="shared" si="32" ref="I573:I579">TRUNC(D573*F573,4)</f>
        <v>0.1034</v>
      </c>
    </row>
    <row r="574" spans="1:9" s="11" customFormat="1" ht="28.5">
      <c r="A574" s="58">
        <v>2</v>
      </c>
      <c r="B574" s="59" t="s">
        <v>39</v>
      </c>
      <c r="C574" s="58" t="s">
        <v>79</v>
      </c>
      <c r="D574" s="70">
        <f>ROUND(D562*0.6,4)</f>
        <v>0.0139</v>
      </c>
      <c r="E574" s="60"/>
      <c r="F574" s="86">
        <v>92.28</v>
      </c>
      <c r="G574" s="61" t="s">
        <v>64</v>
      </c>
      <c r="H574" s="62">
        <v>91677</v>
      </c>
      <c r="I574" s="83">
        <f t="shared" si="32"/>
        <v>1.2826</v>
      </c>
    </row>
    <row r="575" spans="1:9" s="11" customFormat="1" ht="15">
      <c r="A575" s="58">
        <v>3</v>
      </c>
      <c r="B575" s="59" t="s">
        <v>48</v>
      </c>
      <c r="C575" s="58" t="s">
        <v>95</v>
      </c>
      <c r="D575" s="70">
        <v>0.0002</v>
      </c>
      <c r="E575" s="60"/>
      <c r="F575" s="86">
        <v>240.82</v>
      </c>
      <c r="G575" s="61" t="s">
        <v>77</v>
      </c>
      <c r="H575" s="62" t="s">
        <v>126</v>
      </c>
      <c r="I575" s="83">
        <f t="shared" si="32"/>
        <v>0.0481</v>
      </c>
    </row>
    <row r="576" spans="1:9" s="73" customFormat="1" ht="14.25">
      <c r="A576" s="58" t="s">
        <v>90</v>
      </c>
      <c r="B576" s="59" t="s">
        <v>80</v>
      </c>
      <c r="C576" s="69" t="s">
        <v>81</v>
      </c>
      <c r="D576" s="84">
        <f>ROUND((D574)/176,6)</f>
        <v>7.9E-05</v>
      </c>
      <c r="E576" s="60"/>
      <c r="F576" s="83">
        <f>TRUNC(171.37*(1+Orcamento!$E$106),4)</f>
        <v>190.4434</v>
      </c>
      <c r="G576" s="77" t="s">
        <v>82</v>
      </c>
      <c r="H576" s="72" t="s">
        <v>57</v>
      </c>
      <c r="I576" s="83">
        <f t="shared" si="32"/>
        <v>0.015</v>
      </c>
    </row>
    <row r="577" spans="1:9" s="73" customFormat="1" ht="14.25">
      <c r="A577" s="58" t="s">
        <v>91</v>
      </c>
      <c r="B577" s="74" t="s">
        <v>83</v>
      </c>
      <c r="C577" s="75" t="s">
        <v>84</v>
      </c>
      <c r="D577" s="85">
        <f>ROUND((D574)/(176*12),6)</f>
        <v>7E-06</v>
      </c>
      <c r="E577" s="76"/>
      <c r="F577" s="83">
        <f>TRUNC(6461.72*(1+Orcamento!$E$107),4)</f>
        <v>6736.9892</v>
      </c>
      <c r="G577" s="71" t="s">
        <v>85</v>
      </c>
      <c r="H577" s="72" t="s">
        <v>86</v>
      </c>
      <c r="I577" s="83">
        <f t="shared" si="32"/>
        <v>0.0471</v>
      </c>
    </row>
    <row r="578" spans="1:9" s="11" customFormat="1" ht="15">
      <c r="A578" s="58" t="s">
        <v>97</v>
      </c>
      <c r="B578" s="59" t="s">
        <v>36</v>
      </c>
      <c r="C578" s="58" t="s">
        <v>95</v>
      </c>
      <c r="D578" s="70">
        <f>ROUND(D574*1,4)</f>
        <v>0.0139</v>
      </c>
      <c r="E578" s="60"/>
      <c r="F578" s="86">
        <f>TRUNC(0.35*(1+Orcamento!$E$106),4)</f>
        <v>0.3889</v>
      </c>
      <c r="G578" s="68" t="s">
        <v>82</v>
      </c>
      <c r="H578" s="62" t="s">
        <v>89</v>
      </c>
      <c r="I578" s="83">
        <f t="shared" si="32"/>
        <v>0.0054</v>
      </c>
    </row>
    <row r="579" spans="1:9" s="11" customFormat="1" ht="15">
      <c r="A579" s="58" t="s">
        <v>98</v>
      </c>
      <c r="B579" s="59" t="s">
        <v>37</v>
      </c>
      <c r="C579" s="58" t="s">
        <v>95</v>
      </c>
      <c r="D579" s="70">
        <f>ROUND(D578*0.5,4)</f>
        <v>0.007</v>
      </c>
      <c r="E579" s="60"/>
      <c r="F579" s="86">
        <f>TRUNC(5*(1+Orcamento!$E$106),4)</f>
        <v>5.5565</v>
      </c>
      <c r="G579" s="68" t="s">
        <v>82</v>
      </c>
      <c r="H579" s="62" t="s">
        <v>87</v>
      </c>
      <c r="I579" s="83">
        <f t="shared" si="32"/>
        <v>0.0388</v>
      </c>
    </row>
    <row r="580" s="11" customFormat="1" ht="15">
      <c r="B580" s="6"/>
    </row>
    <row r="581" spans="2:5" s="11" customFormat="1" ht="15">
      <c r="B581" s="6"/>
      <c r="C581" s="7"/>
      <c r="D581" s="7"/>
      <c r="E581" s="7"/>
    </row>
    <row r="582" spans="1:9" s="11" customFormat="1" ht="15">
      <c r="A582" s="46" t="s">
        <v>29</v>
      </c>
      <c r="B582" s="46" t="s">
        <v>30</v>
      </c>
      <c r="C582" s="47"/>
      <c r="D582" s="47"/>
      <c r="E582" s="47"/>
      <c r="F582" s="47"/>
      <c r="G582" s="48"/>
      <c r="H582" s="45" t="s">
        <v>70</v>
      </c>
      <c r="I582" s="45" t="s">
        <v>69</v>
      </c>
    </row>
    <row r="583" spans="1:9" s="11" customFormat="1" ht="15">
      <c r="A583" s="49" t="s">
        <v>419</v>
      </c>
      <c r="B583" s="120" t="s">
        <v>413</v>
      </c>
      <c r="C583" s="121"/>
      <c r="D583" s="121"/>
      <c r="E583" s="121"/>
      <c r="F583" s="121"/>
      <c r="G583" s="122"/>
      <c r="H583" s="123" t="s">
        <v>180</v>
      </c>
      <c r="I583" s="124">
        <f>TRUNC(SUM(I585:I591),2)</f>
        <v>0.75</v>
      </c>
    </row>
    <row r="584" spans="1:9" s="11" customFormat="1" ht="15.75" customHeight="1">
      <c r="A584" s="51" t="s">
        <v>1</v>
      </c>
      <c r="B584" s="52" t="s">
        <v>2</v>
      </c>
      <c r="C584" s="52" t="s">
        <v>31</v>
      </c>
      <c r="D584" s="53" t="s">
        <v>32</v>
      </c>
      <c r="E584" s="54" t="s">
        <v>33</v>
      </c>
      <c r="F584" s="55" t="s">
        <v>4</v>
      </c>
      <c r="G584" s="56" t="s">
        <v>33</v>
      </c>
      <c r="H584" s="57"/>
      <c r="I584" s="53" t="s">
        <v>71</v>
      </c>
    </row>
    <row r="585" spans="1:9" s="11" customFormat="1" ht="28.5">
      <c r="A585" s="58">
        <v>1</v>
      </c>
      <c r="B585" s="59" t="s">
        <v>125</v>
      </c>
      <c r="C585" s="58" t="s">
        <v>79</v>
      </c>
      <c r="D585" s="70">
        <f>ROUND((D586)*0.05,4)</f>
        <v>0.0003</v>
      </c>
      <c r="E585" s="97">
        <v>0.05</v>
      </c>
      <c r="F585" s="86">
        <v>147.75</v>
      </c>
      <c r="G585" s="61" t="s">
        <v>92</v>
      </c>
      <c r="H585" s="62">
        <v>90779</v>
      </c>
      <c r="I585" s="83">
        <f aca="true" t="shared" si="33" ref="I585:I591">TRUNC(D585*F585,4)</f>
        <v>0.0443</v>
      </c>
    </row>
    <row r="586" spans="1:9" s="11" customFormat="1" ht="28.5">
      <c r="A586" s="58">
        <v>2</v>
      </c>
      <c r="B586" s="59" t="s">
        <v>39</v>
      </c>
      <c r="C586" s="58" t="s">
        <v>79</v>
      </c>
      <c r="D586" s="70">
        <v>0.0067</v>
      </c>
      <c r="E586" s="60"/>
      <c r="F586" s="86">
        <v>92.28</v>
      </c>
      <c r="G586" s="61" t="s">
        <v>64</v>
      </c>
      <c r="H586" s="62">
        <v>91677</v>
      </c>
      <c r="I586" s="83">
        <f t="shared" si="33"/>
        <v>0.6182</v>
      </c>
    </row>
    <row r="587" spans="1:9" s="11" customFormat="1" ht="15">
      <c r="A587" s="58">
        <v>3</v>
      </c>
      <c r="B587" s="59" t="s">
        <v>48</v>
      </c>
      <c r="C587" s="58" t="s">
        <v>95</v>
      </c>
      <c r="D587" s="70">
        <v>0.0002</v>
      </c>
      <c r="E587" s="60"/>
      <c r="F587" s="86">
        <v>240.82</v>
      </c>
      <c r="G587" s="61" t="s">
        <v>77</v>
      </c>
      <c r="H587" s="62" t="s">
        <v>126</v>
      </c>
      <c r="I587" s="83">
        <f t="shared" si="33"/>
        <v>0.0481</v>
      </c>
    </row>
    <row r="588" spans="1:9" s="73" customFormat="1" ht="14.25">
      <c r="A588" s="58" t="s">
        <v>90</v>
      </c>
      <c r="B588" s="59" t="s">
        <v>80</v>
      </c>
      <c r="C588" s="69" t="s">
        <v>81</v>
      </c>
      <c r="D588" s="84">
        <f>ROUND((D586)/176,6)</f>
        <v>3.8E-05</v>
      </c>
      <c r="E588" s="60"/>
      <c r="F588" s="83">
        <f>TRUNC(171.37*(1+Orcamento!$E$106),4)</f>
        <v>190.4434</v>
      </c>
      <c r="G588" s="77" t="s">
        <v>82</v>
      </c>
      <c r="H588" s="72" t="s">
        <v>57</v>
      </c>
      <c r="I588" s="83">
        <f t="shared" si="33"/>
        <v>0.0072</v>
      </c>
    </row>
    <row r="589" spans="1:9" s="73" customFormat="1" ht="14.25">
      <c r="A589" s="58" t="s">
        <v>91</v>
      </c>
      <c r="B589" s="74" t="s">
        <v>83</v>
      </c>
      <c r="C589" s="75" t="s">
        <v>84</v>
      </c>
      <c r="D589" s="85">
        <f>ROUND((D586)/(176*12),6)</f>
        <v>3E-06</v>
      </c>
      <c r="E589" s="76"/>
      <c r="F589" s="83">
        <f>TRUNC(6461.72*(1+Orcamento!$E$107),4)</f>
        <v>6736.9892</v>
      </c>
      <c r="G589" s="71" t="s">
        <v>85</v>
      </c>
      <c r="H589" s="72" t="s">
        <v>86</v>
      </c>
      <c r="I589" s="83">
        <f t="shared" si="33"/>
        <v>0.0202</v>
      </c>
    </row>
    <row r="590" spans="1:9" s="11" customFormat="1" ht="15">
      <c r="A590" s="58" t="s">
        <v>97</v>
      </c>
      <c r="B590" s="59" t="s">
        <v>36</v>
      </c>
      <c r="C590" s="58" t="s">
        <v>95</v>
      </c>
      <c r="D590" s="70">
        <f>ROUND(D586*1,4)</f>
        <v>0.0067</v>
      </c>
      <c r="E590" s="60"/>
      <c r="F590" s="86">
        <f>TRUNC(0.35*(1+Orcamento!$E$106),4)</f>
        <v>0.3889</v>
      </c>
      <c r="G590" s="68" t="s">
        <v>82</v>
      </c>
      <c r="H590" s="62" t="s">
        <v>89</v>
      </c>
      <c r="I590" s="83">
        <f t="shared" si="33"/>
        <v>0.0026</v>
      </c>
    </row>
    <row r="591" spans="1:9" s="11" customFormat="1" ht="15">
      <c r="A591" s="58" t="s">
        <v>98</v>
      </c>
      <c r="B591" s="59" t="s">
        <v>37</v>
      </c>
      <c r="C591" s="58" t="s">
        <v>95</v>
      </c>
      <c r="D591" s="70">
        <f>ROUND(D590*0.5,4)</f>
        <v>0.0034</v>
      </c>
      <c r="E591" s="60"/>
      <c r="F591" s="86">
        <f>TRUNC(5*(1+Orcamento!$E$106),4)</f>
        <v>5.5565</v>
      </c>
      <c r="G591" s="68" t="s">
        <v>82</v>
      </c>
      <c r="H591" s="62" t="s">
        <v>87</v>
      </c>
      <c r="I591" s="83">
        <f t="shared" si="33"/>
        <v>0.0188</v>
      </c>
    </row>
    <row r="592" s="11" customFormat="1" ht="15">
      <c r="B592" s="6"/>
    </row>
    <row r="593" spans="2:5" s="11" customFormat="1" ht="15">
      <c r="B593" s="6"/>
      <c r="C593" s="7"/>
      <c r="D593" s="7"/>
      <c r="E593" s="7"/>
    </row>
    <row r="594" spans="1:9" s="11" customFormat="1" ht="15">
      <c r="A594" s="46" t="s">
        <v>29</v>
      </c>
      <c r="B594" s="46" t="s">
        <v>30</v>
      </c>
      <c r="C594" s="47"/>
      <c r="D594" s="47"/>
      <c r="E594" s="47"/>
      <c r="F594" s="47"/>
      <c r="G594" s="48"/>
      <c r="H594" s="45" t="s">
        <v>70</v>
      </c>
      <c r="I594" s="45" t="s">
        <v>69</v>
      </c>
    </row>
    <row r="595" spans="1:9" s="11" customFormat="1" ht="15">
      <c r="A595" s="49" t="s">
        <v>418</v>
      </c>
      <c r="B595" s="120" t="s">
        <v>416</v>
      </c>
      <c r="C595" s="121"/>
      <c r="D595" s="121"/>
      <c r="E595" s="121"/>
      <c r="F595" s="121"/>
      <c r="G595" s="122"/>
      <c r="H595" s="123" t="s">
        <v>180</v>
      </c>
      <c r="I595" s="124">
        <f>TRUNC(SUM(I597:I603),2)</f>
        <v>0.47</v>
      </c>
    </row>
    <row r="596" spans="1:9" s="11" customFormat="1" ht="15.75" customHeight="1">
      <c r="A596" s="51" t="s">
        <v>1</v>
      </c>
      <c r="B596" s="52" t="s">
        <v>2</v>
      </c>
      <c r="C596" s="52" t="s">
        <v>31</v>
      </c>
      <c r="D596" s="53" t="s">
        <v>32</v>
      </c>
      <c r="E596" s="54" t="s">
        <v>33</v>
      </c>
      <c r="F596" s="55" t="s">
        <v>4</v>
      </c>
      <c r="G596" s="56" t="s">
        <v>33</v>
      </c>
      <c r="H596" s="57"/>
      <c r="I596" s="53" t="s">
        <v>71</v>
      </c>
    </row>
    <row r="597" spans="1:9" s="11" customFormat="1" ht="28.5">
      <c r="A597" s="58">
        <v>1</v>
      </c>
      <c r="B597" s="59" t="s">
        <v>125</v>
      </c>
      <c r="C597" s="58" t="s">
        <v>79</v>
      </c>
      <c r="D597" s="70">
        <f>ROUND((D598)*0.05,4)</f>
        <v>0.0002</v>
      </c>
      <c r="E597" s="97">
        <v>0.05</v>
      </c>
      <c r="F597" s="86">
        <v>147.75</v>
      </c>
      <c r="G597" s="61" t="s">
        <v>92</v>
      </c>
      <c r="H597" s="62">
        <v>90779</v>
      </c>
      <c r="I597" s="83">
        <f aca="true" t="shared" si="34" ref="I597:I603">TRUNC(D597*F597,4)</f>
        <v>0.0295</v>
      </c>
    </row>
    <row r="598" spans="1:9" s="11" customFormat="1" ht="28.5">
      <c r="A598" s="58">
        <v>2</v>
      </c>
      <c r="B598" s="59" t="s">
        <v>39</v>
      </c>
      <c r="C598" s="58" t="s">
        <v>79</v>
      </c>
      <c r="D598" s="70">
        <f>ROUND(D586*0.6,4)</f>
        <v>0.004</v>
      </c>
      <c r="E598" s="60"/>
      <c r="F598" s="86">
        <v>92.28</v>
      </c>
      <c r="G598" s="61" t="s">
        <v>64</v>
      </c>
      <c r="H598" s="62">
        <v>91677</v>
      </c>
      <c r="I598" s="83">
        <f t="shared" si="34"/>
        <v>0.3691</v>
      </c>
    </row>
    <row r="599" spans="1:9" s="11" customFormat="1" ht="15">
      <c r="A599" s="58">
        <v>3</v>
      </c>
      <c r="B599" s="59" t="s">
        <v>48</v>
      </c>
      <c r="C599" s="58" t="s">
        <v>95</v>
      </c>
      <c r="D599" s="70">
        <v>0.0002</v>
      </c>
      <c r="E599" s="60"/>
      <c r="F599" s="86">
        <v>240.82</v>
      </c>
      <c r="G599" s="61" t="s">
        <v>77</v>
      </c>
      <c r="H599" s="62" t="s">
        <v>126</v>
      </c>
      <c r="I599" s="83">
        <f t="shared" si="34"/>
        <v>0.0481</v>
      </c>
    </row>
    <row r="600" spans="1:9" s="73" customFormat="1" ht="14.25">
      <c r="A600" s="58" t="s">
        <v>90</v>
      </c>
      <c r="B600" s="59" t="s">
        <v>80</v>
      </c>
      <c r="C600" s="69" t="s">
        <v>81</v>
      </c>
      <c r="D600" s="84">
        <f>ROUND((D598)/176,6)</f>
        <v>2.3E-05</v>
      </c>
      <c r="E600" s="60"/>
      <c r="F600" s="83">
        <f>TRUNC(171.37*(1+Orcamento!$E$106),4)</f>
        <v>190.4434</v>
      </c>
      <c r="G600" s="77" t="s">
        <v>82</v>
      </c>
      <c r="H600" s="72" t="s">
        <v>57</v>
      </c>
      <c r="I600" s="83">
        <f t="shared" si="34"/>
        <v>0.0043</v>
      </c>
    </row>
    <row r="601" spans="1:9" s="73" customFormat="1" ht="14.25">
      <c r="A601" s="58" t="s">
        <v>91</v>
      </c>
      <c r="B601" s="74" t="s">
        <v>83</v>
      </c>
      <c r="C601" s="75" t="s">
        <v>84</v>
      </c>
      <c r="D601" s="85">
        <f>ROUND((D598)/(176*12),6)</f>
        <v>2E-06</v>
      </c>
      <c r="E601" s="76"/>
      <c r="F601" s="83">
        <f>TRUNC(6461.72*(1+Orcamento!$E$107),4)</f>
        <v>6736.9892</v>
      </c>
      <c r="G601" s="71" t="s">
        <v>85</v>
      </c>
      <c r="H601" s="72" t="s">
        <v>86</v>
      </c>
      <c r="I601" s="83">
        <f t="shared" si="34"/>
        <v>0.0134</v>
      </c>
    </row>
    <row r="602" spans="1:9" s="11" customFormat="1" ht="15">
      <c r="A602" s="58" t="s">
        <v>97</v>
      </c>
      <c r="B602" s="59" t="s">
        <v>36</v>
      </c>
      <c r="C602" s="58" t="s">
        <v>95</v>
      </c>
      <c r="D602" s="70">
        <f>ROUND(D598*1,4)</f>
        <v>0.004</v>
      </c>
      <c r="E602" s="60"/>
      <c r="F602" s="86">
        <f>TRUNC(0.35*(1+Orcamento!$E$106),4)</f>
        <v>0.3889</v>
      </c>
      <c r="G602" s="68" t="s">
        <v>82</v>
      </c>
      <c r="H602" s="62" t="s">
        <v>89</v>
      </c>
      <c r="I602" s="83">
        <f t="shared" si="34"/>
        <v>0.0015</v>
      </c>
    </row>
    <row r="603" spans="1:9" s="11" customFormat="1" ht="15">
      <c r="A603" s="58" t="s">
        <v>98</v>
      </c>
      <c r="B603" s="59" t="s">
        <v>37</v>
      </c>
      <c r="C603" s="58" t="s">
        <v>95</v>
      </c>
      <c r="D603" s="70">
        <f>ROUND(D602*0.5,4)</f>
        <v>0.002</v>
      </c>
      <c r="E603" s="60"/>
      <c r="F603" s="86">
        <f>TRUNC(5*(1+Orcamento!$E$106),4)</f>
        <v>5.5565</v>
      </c>
      <c r="G603" s="68" t="s">
        <v>82</v>
      </c>
      <c r="H603" s="62" t="s">
        <v>87</v>
      </c>
      <c r="I603" s="83">
        <f t="shared" si="34"/>
        <v>0.0111</v>
      </c>
    </row>
    <row r="604" s="11" customFormat="1" ht="15">
      <c r="B604" s="6"/>
    </row>
    <row r="605" spans="2:5" s="11" customFormat="1" ht="15">
      <c r="B605" s="6"/>
      <c r="C605" s="7"/>
      <c r="D605" s="7"/>
      <c r="E605" s="7"/>
    </row>
    <row r="606" spans="1:9" s="11" customFormat="1" ht="15">
      <c r="A606" s="46" t="s">
        <v>29</v>
      </c>
      <c r="B606" s="46" t="s">
        <v>30</v>
      </c>
      <c r="C606" s="47"/>
      <c r="D606" s="47"/>
      <c r="E606" s="47"/>
      <c r="F606" s="47"/>
      <c r="G606" s="48"/>
      <c r="H606" s="45" t="s">
        <v>70</v>
      </c>
      <c r="I606" s="45" t="s">
        <v>69</v>
      </c>
    </row>
    <row r="607" spans="1:9" s="11" customFormat="1" ht="15">
      <c r="A607" s="49" t="s">
        <v>259</v>
      </c>
      <c r="B607" s="120" t="s">
        <v>165</v>
      </c>
      <c r="C607" s="121"/>
      <c r="D607" s="121"/>
      <c r="E607" s="121"/>
      <c r="F607" s="121"/>
      <c r="G607" s="122"/>
      <c r="H607" s="123" t="s">
        <v>180</v>
      </c>
      <c r="I607" s="124">
        <f>TRUNC(SUM(I609:I615),2)</f>
        <v>1.93</v>
      </c>
    </row>
    <row r="608" spans="1:9" s="11" customFormat="1" ht="15.75" customHeight="1">
      <c r="A608" s="51" t="s">
        <v>1</v>
      </c>
      <c r="B608" s="52" t="s">
        <v>2</v>
      </c>
      <c r="C608" s="52" t="s">
        <v>31</v>
      </c>
      <c r="D608" s="53" t="s">
        <v>32</v>
      </c>
      <c r="E608" s="54" t="s">
        <v>33</v>
      </c>
      <c r="F608" s="55" t="s">
        <v>4</v>
      </c>
      <c r="G608" s="56" t="s">
        <v>33</v>
      </c>
      <c r="H608" s="57"/>
      <c r="I608" s="53" t="s">
        <v>71</v>
      </c>
    </row>
    <row r="609" spans="1:9" s="11" customFormat="1" ht="28.5">
      <c r="A609" s="58">
        <v>1</v>
      </c>
      <c r="B609" s="59" t="s">
        <v>125</v>
      </c>
      <c r="C609" s="58" t="s">
        <v>79</v>
      </c>
      <c r="D609" s="70">
        <f>ROUND((D610)*0.05,4)</f>
        <v>0.0009</v>
      </c>
      <c r="E609" s="97">
        <v>0.05</v>
      </c>
      <c r="F609" s="86">
        <v>147.75</v>
      </c>
      <c r="G609" s="61" t="s">
        <v>92</v>
      </c>
      <c r="H609" s="62">
        <v>90779</v>
      </c>
      <c r="I609" s="83">
        <f aca="true" t="shared" si="35" ref="I609:I615">TRUNC(D609*F609,4)</f>
        <v>0.1329</v>
      </c>
    </row>
    <row r="610" spans="1:9" s="11" customFormat="1" ht="28.5">
      <c r="A610" s="58">
        <v>2</v>
      </c>
      <c r="B610" s="59" t="s">
        <v>39</v>
      </c>
      <c r="C610" s="58" t="s">
        <v>79</v>
      </c>
      <c r="D610" s="70">
        <v>0.0176</v>
      </c>
      <c r="E610" s="60"/>
      <c r="F610" s="86">
        <v>92.28</v>
      </c>
      <c r="G610" s="61" t="s">
        <v>64</v>
      </c>
      <c r="H610" s="62">
        <v>91677</v>
      </c>
      <c r="I610" s="83">
        <f t="shared" si="35"/>
        <v>1.6241</v>
      </c>
    </row>
    <row r="611" spans="1:9" s="11" customFormat="1" ht="15">
      <c r="A611" s="58">
        <v>3</v>
      </c>
      <c r="B611" s="59" t="s">
        <v>48</v>
      </c>
      <c r="C611" s="58" t="s">
        <v>95</v>
      </c>
      <c r="D611" s="70">
        <v>0.0002</v>
      </c>
      <c r="E611" s="60"/>
      <c r="F611" s="86">
        <v>240.82</v>
      </c>
      <c r="G611" s="61" t="s">
        <v>77</v>
      </c>
      <c r="H611" s="62" t="s">
        <v>126</v>
      </c>
      <c r="I611" s="83">
        <f t="shared" si="35"/>
        <v>0.0481</v>
      </c>
    </row>
    <row r="612" spans="1:9" s="73" customFormat="1" ht="14.25">
      <c r="A612" s="58" t="s">
        <v>90</v>
      </c>
      <c r="B612" s="59" t="s">
        <v>80</v>
      </c>
      <c r="C612" s="69" t="s">
        <v>81</v>
      </c>
      <c r="D612" s="84">
        <f>ROUND((D610)/176,6)</f>
        <v>0.0001</v>
      </c>
      <c r="E612" s="60"/>
      <c r="F612" s="83">
        <f>TRUNC(171.37*(1+Orcamento!$E$106),4)</f>
        <v>190.4434</v>
      </c>
      <c r="G612" s="77" t="s">
        <v>82</v>
      </c>
      <c r="H612" s="72" t="s">
        <v>57</v>
      </c>
      <c r="I612" s="83">
        <f t="shared" si="35"/>
        <v>0.019</v>
      </c>
    </row>
    <row r="613" spans="1:9" s="73" customFormat="1" ht="14.25">
      <c r="A613" s="58" t="s">
        <v>91</v>
      </c>
      <c r="B613" s="74" t="s">
        <v>83</v>
      </c>
      <c r="C613" s="75" t="s">
        <v>84</v>
      </c>
      <c r="D613" s="85">
        <f>ROUND((D610)/(176*12),6)</f>
        <v>8E-06</v>
      </c>
      <c r="E613" s="76"/>
      <c r="F613" s="83">
        <f>TRUNC(6461.72*(1+Orcamento!$E$107),4)</f>
        <v>6736.9892</v>
      </c>
      <c r="G613" s="71" t="s">
        <v>85</v>
      </c>
      <c r="H613" s="72" t="s">
        <v>86</v>
      </c>
      <c r="I613" s="83">
        <f t="shared" si="35"/>
        <v>0.0538</v>
      </c>
    </row>
    <row r="614" spans="1:9" s="11" customFormat="1" ht="15">
      <c r="A614" s="58" t="s">
        <v>97</v>
      </c>
      <c r="B614" s="59" t="s">
        <v>36</v>
      </c>
      <c r="C614" s="58" t="s">
        <v>95</v>
      </c>
      <c r="D614" s="70">
        <f>ROUND(D610*1,4)</f>
        <v>0.0176</v>
      </c>
      <c r="E614" s="60"/>
      <c r="F614" s="86">
        <f>TRUNC(0.35*(1+Orcamento!$E$106),4)</f>
        <v>0.3889</v>
      </c>
      <c r="G614" s="68" t="s">
        <v>82</v>
      </c>
      <c r="H614" s="62" t="s">
        <v>89</v>
      </c>
      <c r="I614" s="83">
        <f t="shared" si="35"/>
        <v>0.0068</v>
      </c>
    </row>
    <row r="615" spans="1:9" s="11" customFormat="1" ht="15">
      <c r="A615" s="58" t="s">
        <v>98</v>
      </c>
      <c r="B615" s="59" t="s">
        <v>37</v>
      </c>
      <c r="C615" s="58" t="s">
        <v>95</v>
      </c>
      <c r="D615" s="70">
        <f>ROUND(D614*0.5,4)</f>
        <v>0.0088</v>
      </c>
      <c r="E615" s="60"/>
      <c r="F615" s="86">
        <f>TRUNC(5*(1+Orcamento!$E$106),4)</f>
        <v>5.5565</v>
      </c>
      <c r="G615" s="68" t="s">
        <v>82</v>
      </c>
      <c r="H615" s="62" t="s">
        <v>87</v>
      </c>
      <c r="I615" s="83">
        <f t="shared" si="35"/>
        <v>0.0488</v>
      </c>
    </row>
    <row r="616" s="11" customFormat="1" ht="15">
      <c r="B616" s="6"/>
    </row>
    <row r="617" spans="2:5" s="11" customFormat="1" ht="15">
      <c r="B617" s="6"/>
      <c r="C617" s="7"/>
      <c r="D617" s="7"/>
      <c r="E617" s="7"/>
    </row>
    <row r="618" spans="1:9" s="11" customFormat="1" ht="15">
      <c r="A618" s="46" t="s">
        <v>29</v>
      </c>
      <c r="B618" s="46" t="s">
        <v>30</v>
      </c>
      <c r="C618" s="47"/>
      <c r="D618" s="47"/>
      <c r="E618" s="47"/>
      <c r="F618" s="47"/>
      <c r="G618" s="48"/>
      <c r="H618" s="45" t="s">
        <v>70</v>
      </c>
      <c r="I618" s="45" t="s">
        <v>69</v>
      </c>
    </row>
    <row r="619" spans="1:9" s="11" customFormat="1" ht="15">
      <c r="A619" s="49" t="s">
        <v>246</v>
      </c>
      <c r="B619" s="120" t="s">
        <v>392</v>
      </c>
      <c r="C619" s="121"/>
      <c r="D619" s="121"/>
      <c r="E619" s="121"/>
      <c r="F619" s="121"/>
      <c r="G619" s="122"/>
      <c r="H619" s="123" t="s">
        <v>180</v>
      </c>
      <c r="I619" s="124">
        <f>TRUNC(SUM(I621:I627),2)</f>
        <v>1.17</v>
      </c>
    </row>
    <row r="620" spans="1:9" s="11" customFormat="1" ht="15.75" customHeight="1">
      <c r="A620" s="51" t="s">
        <v>1</v>
      </c>
      <c r="B620" s="52" t="s">
        <v>2</v>
      </c>
      <c r="C620" s="52" t="s">
        <v>31</v>
      </c>
      <c r="D620" s="53" t="s">
        <v>32</v>
      </c>
      <c r="E620" s="54" t="s">
        <v>33</v>
      </c>
      <c r="F620" s="55" t="s">
        <v>4</v>
      </c>
      <c r="G620" s="56" t="s">
        <v>33</v>
      </c>
      <c r="H620" s="57"/>
      <c r="I620" s="53" t="s">
        <v>71</v>
      </c>
    </row>
    <row r="621" spans="1:9" s="11" customFormat="1" ht="28.5">
      <c r="A621" s="58">
        <v>1</v>
      </c>
      <c r="B621" s="59" t="s">
        <v>125</v>
      </c>
      <c r="C621" s="58" t="s">
        <v>79</v>
      </c>
      <c r="D621" s="70">
        <f>ROUND((D622)*0.05,4)</f>
        <v>0.0005</v>
      </c>
      <c r="E621" s="97">
        <v>0.05</v>
      </c>
      <c r="F621" s="86">
        <v>147.75</v>
      </c>
      <c r="G621" s="61" t="s">
        <v>92</v>
      </c>
      <c r="H621" s="62">
        <v>90779</v>
      </c>
      <c r="I621" s="83">
        <f aca="true" t="shared" si="36" ref="I621:I627">TRUNC(D621*F621,4)</f>
        <v>0.0738</v>
      </c>
    </row>
    <row r="622" spans="1:9" s="11" customFormat="1" ht="28.5">
      <c r="A622" s="58">
        <v>2</v>
      </c>
      <c r="B622" s="59" t="s">
        <v>39</v>
      </c>
      <c r="C622" s="58" t="s">
        <v>79</v>
      </c>
      <c r="D622" s="70">
        <f>ROUND(D610*0.6,4)</f>
        <v>0.0106</v>
      </c>
      <c r="E622" s="60"/>
      <c r="F622" s="86">
        <v>92.28</v>
      </c>
      <c r="G622" s="61" t="s">
        <v>64</v>
      </c>
      <c r="H622" s="62">
        <v>91677</v>
      </c>
      <c r="I622" s="83">
        <f t="shared" si="36"/>
        <v>0.9781</v>
      </c>
    </row>
    <row r="623" spans="1:9" s="11" customFormat="1" ht="15">
      <c r="A623" s="58">
        <v>3</v>
      </c>
      <c r="B623" s="59" t="s">
        <v>48</v>
      </c>
      <c r="C623" s="58" t="s">
        <v>95</v>
      </c>
      <c r="D623" s="70">
        <v>0.0002</v>
      </c>
      <c r="E623" s="60"/>
      <c r="F623" s="86">
        <v>240.82</v>
      </c>
      <c r="G623" s="61" t="s">
        <v>77</v>
      </c>
      <c r="H623" s="62" t="s">
        <v>126</v>
      </c>
      <c r="I623" s="83">
        <f t="shared" si="36"/>
        <v>0.0481</v>
      </c>
    </row>
    <row r="624" spans="1:9" s="73" customFormat="1" ht="14.25">
      <c r="A624" s="58" t="s">
        <v>90</v>
      </c>
      <c r="B624" s="59" t="s">
        <v>80</v>
      </c>
      <c r="C624" s="69" t="s">
        <v>81</v>
      </c>
      <c r="D624" s="84">
        <f>ROUND((D622)/176,6)</f>
        <v>6E-05</v>
      </c>
      <c r="E624" s="60"/>
      <c r="F624" s="83">
        <f>TRUNC(171.37*(1+Orcamento!$E$106),4)</f>
        <v>190.4434</v>
      </c>
      <c r="G624" s="77" t="s">
        <v>82</v>
      </c>
      <c r="H624" s="72" t="s">
        <v>57</v>
      </c>
      <c r="I624" s="83">
        <f t="shared" si="36"/>
        <v>0.0114</v>
      </c>
    </row>
    <row r="625" spans="1:9" s="73" customFormat="1" ht="14.25">
      <c r="A625" s="58" t="s">
        <v>91</v>
      </c>
      <c r="B625" s="74" t="s">
        <v>83</v>
      </c>
      <c r="C625" s="75" t="s">
        <v>84</v>
      </c>
      <c r="D625" s="85">
        <f>ROUND((D622)/(176*12),6)</f>
        <v>5E-06</v>
      </c>
      <c r="E625" s="76"/>
      <c r="F625" s="83">
        <f>TRUNC(6461.72*(1+Orcamento!$E$107),4)</f>
        <v>6736.9892</v>
      </c>
      <c r="G625" s="71" t="s">
        <v>85</v>
      </c>
      <c r="H625" s="72" t="s">
        <v>86</v>
      </c>
      <c r="I625" s="83">
        <f t="shared" si="36"/>
        <v>0.0336</v>
      </c>
    </row>
    <row r="626" spans="1:9" s="11" customFormat="1" ht="15">
      <c r="A626" s="58" t="s">
        <v>97</v>
      </c>
      <c r="B626" s="59" t="s">
        <v>36</v>
      </c>
      <c r="C626" s="58" t="s">
        <v>95</v>
      </c>
      <c r="D626" s="70">
        <f>ROUND(D622*1,4)</f>
        <v>0.0106</v>
      </c>
      <c r="E626" s="60"/>
      <c r="F626" s="86">
        <f>TRUNC(0.35*(1+Orcamento!$E$106),4)</f>
        <v>0.3889</v>
      </c>
      <c r="G626" s="68" t="s">
        <v>82</v>
      </c>
      <c r="H626" s="62" t="s">
        <v>89</v>
      </c>
      <c r="I626" s="83">
        <f t="shared" si="36"/>
        <v>0.0041</v>
      </c>
    </row>
    <row r="627" spans="1:9" s="11" customFormat="1" ht="15">
      <c r="A627" s="58" t="s">
        <v>98</v>
      </c>
      <c r="B627" s="59" t="s">
        <v>37</v>
      </c>
      <c r="C627" s="58" t="s">
        <v>95</v>
      </c>
      <c r="D627" s="70">
        <f>ROUND(D626*0.5,4)</f>
        <v>0.0053</v>
      </c>
      <c r="E627" s="60"/>
      <c r="F627" s="86">
        <f>TRUNC(5*(1+Orcamento!$E$106),4)</f>
        <v>5.5565</v>
      </c>
      <c r="G627" s="68" t="s">
        <v>82</v>
      </c>
      <c r="H627" s="62" t="s">
        <v>87</v>
      </c>
      <c r="I627" s="83">
        <f t="shared" si="36"/>
        <v>0.0294</v>
      </c>
    </row>
    <row r="628" s="11" customFormat="1" ht="15">
      <c r="B628" s="6"/>
    </row>
    <row r="629" spans="2:5" s="11" customFormat="1" ht="15">
      <c r="B629" s="6"/>
      <c r="C629" s="7"/>
      <c r="D629" s="7"/>
      <c r="E629" s="7"/>
    </row>
    <row r="630" spans="1:9" s="11" customFormat="1" ht="15">
      <c r="A630" s="46" t="s">
        <v>29</v>
      </c>
      <c r="B630" s="46" t="s">
        <v>30</v>
      </c>
      <c r="C630" s="47"/>
      <c r="D630" s="47"/>
      <c r="E630" s="47"/>
      <c r="F630" s="47"/>
      <c r="G630" s="48"/>
      <c r="H630" s="45" t="s">
        <v>70</v>
      </c>
      <c r="I630" s="45" t="s">
        <v>69</v>
      </c>
    </row>
    <row r="631" spans="1:9" s="11" customFormat="1" ht="15">
      <c r="A631" s="49" t="s">
        <v>260</v>
      </c>
      <c r="B631" s="120" t="s">
        <v>166</v>
      </c>
      <c r="C631" s="121"/>
      <c r="D631" s="121"/>
      <c r="E631" s="121"/>
      <c r="F631" s="121"/>
      <c r="G631" s="122"/>
      <c r="H631" s="123" t="s">
        <v>180</v>
      </c>
      <c r="I631" s="124">
        <f>TRUNC(SUM(I633:I639),2)</f>
        <v>1.02</v>
      </c>
    </row>
    <row r="632" spans="1:9" s="11" customFormat="1" ht="15.75" customHeight="1">
      <c r="A632" s="51" t="s">
        <v>1</v>
      </c>
      <c r="B632" s="52" t="s">
        <v>2</v>
      </c>
      <c r="C632" s="52" t="s">
        <v>31</v>
      </c>
      <c r="D632" s="53" t="s">
        <v>32</v>
      </c>
      <c r="E632" s="54" t="s">
        <v>33</v>
      </c>
      <c r="F632" s="55" t="s">
        <v>4</v>
      </c>
      <c r="G632" s="56" t="s">
        <v>33</v>
      </c>
      <c r="H632" s="57"/>
      <c r="I632" s="53" t="s">
        <v>71</v>
      </c>
    </row>
    <row r="633" spans="1:9" s="11" customFormat="1" ht="28.5">
      <c r="A633" s="58">
        <v>1</v>
      </c>
      <c r="B633" s="59" t="s">
        <v>125</v>
      </c>
      <c r="C633" s="58" t="s">
        <v>79</v>
      </c>
      <c r="D633" s="70">
        <f>ROUND((D634)*0.05,4)</f>
        <v>0.0005</v>
      </c>
      <c r="E633" s="97">
        <v>0.05</v>
      </c>
      <c r="F633" s="86">
        <v>147.75</v>
      </c>
      <c r="G633" s="61" t="s">
        <v>92</v>
      </c>
      <c r="H633" s="62">
        <v>90779</v>
      </c>
      <c r="I633" s="83">
        <f aca="true" t="shared" si="37" ref="I633:I639">TRUNC(D633*F633,4)</f>
        <v>0.0738</v>
      </c>
    </row>
    <row r="634" spans="1:9" s="11" customFormat="1" ht="28.5">
      <c r="A634" s="58">
        <v>2</v>
      </c>
      <c r="B634" s="59" t="s">
        <v>39</v>
      </c>
      <c r="C634" s="58" t="s">
        <v>79</v>
      </c>
      <c r="D634" s="70">
        <v>0.009099999999999999</v>
      </c>
      <c r="E634" s="60"/>
      <c r="F634" s="86">
        <v>92.28</v>
      </c>
      <c r="G634" s="61" t="s">
        <v>64</v>
      </c>
      <c r="H634" s="62">
        <v>91677</v>
      </c>
      <c r="I634" s="83">
        <f t="shared" si="37"/>
        <v>0.8397</v>
      </c>
    </row>
    <row r="635" spans="1:9" s="11" customFormat="1" ht="15">
      <c r="A635" s="58">
        <v>3</v>
      </c>
      <c r="B635" s="59" t="s">
        <v>48</v>
      </c>
      <c r="C635" s="58" t="s">
        <v>95</v>
      </c>
      <c r="D635" s="70">
        <v>0.0002</v>
      </c>
      <c r="E635" s="60"/>
      <c r="F635" s="86">
        <v>240.82</v>
      </c>
      <c r="G635" s="61" t="s">
        <v>77</v>
      </c>
      <c r="H635" s="62" t="s">
        <v>126</v>
      </c>
      <c r="I635" s="83">
        <f t="shared" si="37"/>
        <v>0.0481</v>
      </c>
    </row>
    <row r="636" spans="1:9" s="73" customFormat="1" ht="14.25">
      <c r="A636" s="58" t="s">
        <v>90</v>
      </c>
      <c r="B636" s="59" t="s">
        <v>80</v>
      </c>
      <c r="C636" s="69" t="s">
        <v>81</v>
      </c>
      <c r="D636" s="84">
        <f>ROUND((D634)/176,6)</f>
        <v>5.2E-05</v>
      </c>
      <c r="E636" s="60"/>
      <c r="F636" s="83">
        <f>TRUNC(171.37*(1+Orcamento!$E$106),4)</f>
        <v>190.4434</v>
      </c>
      <c r="G636" s="77" t="s">
        <v>82</v>
      </c>
      <c r="H636" s="72" t="s">
        <v>57</v>
      </c>
      <c r="I636" s="83">
        <f t="shared" si="37"/>
        <v>0.0099</v>
      </c>
    </row>
    <row r="637" spans="1:9" s="73" customFormat="1" ht="14.25">
      <c r="A637" s="58" t="s">
        <v>91</v>
      </c>
      <c r="B637" s="74" t="s">
        <v>83</v>
      </c>
      <c r="C637" s="75" t="s">
        <v>84</v>
      </c>
      <c r="D637" s="85">
        <f>ROUND((D634)/(176*12),6)</f>
        <v>4E-06</v>
      </c>
      <c r="E637" s="76"/>
      <c r="F637" s="83">
        <f>TRUNC(6461.72*(1+Orcamento!$E$107),4)</f>
        <v>6736.9892</v>
      </c>
      <c r="G637" s="71" t="s">
        <v>85</v>
      </c>
      <c r="H637" s="72" t="s">
        <v>86</v>
      </c>
      <c r="I637" s="83">
        <f t="shared" si="37"/>
        <v>0.0269</v>
      </c>
    </row>
    <row r="638" spans="1:9" s="11" customFormat="1" ht="15">
      <c r="A638" s="58" t="s">
        <v>97</v>
      </c>
      <c r="B638" s="59" t="s">
        <v>36</v>
      </c>
      <c r="C638" s="58" t="s">
        <v>95</v>
      </c>
      <c r="D638" s="70">
        <f>ROUND(D634*1,4)</f>
        <v>0.0091</v>
      </c>
      <c r="E638" s="60"/>
      <c r="F638" s="86">
        <f>TRUNC(0.35*(1+Orcamento!$E$106),4)</f>
        <v>0.3889</v>
      </c>
      <c r="G638" s="68" t="s">
        <v>82</v>
      </c>
      <c r="H638" s="62" t="s">
        <v>89</v>
      </c>
      <c r="I638" s="83">
        <f t="shared" si="37"/>
        <v>0.0035</v>
      </c>
    </row>
    <row r="639" spans="1:9" s="11" customFormat="1" ht="15">
      <c r="A639" s="58" t="s">
        <v>98</v>
      </c>
      <c r="B639" s="59" t="s">
        <v>37</v>
      </c>
      <c r="C639" s="58" t="s">
        <v>95</v>
      </c>
      <c r="D639" s="70">
        <f>ROUND(D638*0.5,4)</f>
        <v>0.0046</v>
      </c>
      <c r="E639" s="60"/>
      <c r="F639" s="86">
        <f>TRUNC(5*(1+Orcamento!$E$106),4)</f>
        <v>5.5565</v>
      </c>
      <c r="G639" s="68" t="s">
        <v>82</v>
      </c>
      <c r="H639" s="62" t="s">
        <v>87</v>
      </c>
      <c r="I639" s="83">
        <f t="shared" si="37"/>
        <v>0.0255</v>
      </c>
    </row>
    <row r="640" s="11" customFormat="1" ht="15">
      <c r="B640" s="6"/>
    </row>
    <row r="641" spans="2:5" s="11" customFormat="1" ht="15">
      <c r="B641" s="6"/>
      <c r="C641" s="7"/>
      <c r="D641" s="7"/>
      <c r="E641" s="7"/>
    </row>
    <row r="642" spans="1:9" s="11" customFormat="1" ht="15">
      <c r="A642" s="46" t="s">
        <v>29</v>
      </c>
      <c r="B642" s="46" t="s">
        <v>30</v>
      </c>
      <c r="C642" s="47"/>
      <c r="D642" s="47"/>
      <c r="E642" s="47"/>
      <c r="F642" s="47"/>
      <c r="G642" s="48"/>
      <c r="H642" s="45" t="s">
        <v>70</v>
      </c>
      <c r="I642" s="45" t="s">
        <v>69</v>
      </c>
    </row>
    <row r="643" spans="1:9" s="11" customFormat="1" ht="15">
      <c r="A643" s="49" t="s">
        <v>247</v>
      </c>
      <c r="B643" s="120" t="s">
        <v>393</v>
      </c>
      <c r="C643" s="121"/>
      <c r="D643" s="121"/>
      <c r="E643" s="121"/>
      <c r="F643" s="121"/>
      <c r="G643" s="122"/>
      <c r="H643" s="123" t="s">
        <v>180</v>
      </c>
      <c r="I643" s="124">
        <f>TRUNC(SUM(I645:I651),2)</f>
        <v>0.64</v>
      </c>
    </row>
    <row r="644" spans="1:9" s="11" customFormat="1" ht="15.75" customHeight="1">
      <c r="A644" s="51" t="s">
        <v>1</v>
      </c>
      <c r="B644" s="52" t="s">
        <v>2</v>
      </c>
      <c r="C644" s="52" t="s">
        <v>31</v>
      </c>
      <c r="D644" s="53" t="s">
        <v>32</v>
      </c>
      <c r="E644" s="54" t="s">
        <v>33</v>
      </c>
      <c r="F644" s="55" t="s">
        <v>4</v>
      </c>
      <c r="G644" s="56" t="s">
        <v>33</v>
      </c>
      <c r="H644" s="57"/>
      <c r="I644" s="53" t="s">
        <v>71</v>
      </c>
    </row>
    <row r="645" spans="1:9" s="11" customFormat="1" ht="28.5">
      <c r="A645" s="58">
        <v>1</v>
      </c>
      <c r="B645" s="59" t="s">
        <v>125</v>
      </c>
      <c r="C645" s="58" t="s">
        <v>79</v>
      </c>
      <c r="D645" s="70">
        <f>ROUND((D646)*0.05,4)</f>
        <v>0.0003</v>
      </c>
      <c r="E645" s="97">
        <v>0.05</v>
      </c>
      <c r="F645" s="86">
        <v>147.75</v>
      </c>
      <c r="G645" s="61" t="s">
        <v>92</v>
      </c>
      <c r="H645" s="62">
        <v>90779</v>
      </c>
      <c r="I645" s="83">
        <f aca="true" t="shared" si="38" ref="I645:I651">TRUNC(D645*F645,4)</f>
        <v>0.0443</v>
      </c>
    </row>
    <row r="646" spans="1:9" s="11" customFormat="1" ht="28.5">
      <c r="A646" s="58">
        <v>2</v>
      </c>
      <c r="B646" s="59" t="s">
        <v>39</v>
      </c>
      <c r="C646" s="58" t="s">
        <v>79</v>
      </c>
      <c r="D646" s="70">
        <f>ROUND(D634*0.6,4)</f>
        <v>0.0055</v>
      </c>
      <c r="E646" s="60"/>
      <c r="F646" s="86">
        <v>92.28</v>
      </c>
      <c r="G646" s="61" t="s">
        <v>64</v>
      </c>
      <c r="H646" s="62">
        <v>91677</v>
      </c>
      <c r="I646" s="83">
        <f t="shared" si="38"/>
        <v>0.5075</v>
      </c>
    </row>
    <row r="647" spans="1:9" s="11" customFormat="1" ht="15">
      <c r="A647" s="58">
        <v>3</v>
      </c>
      <c r="B647" s="59" t="s">
        <v>48</v>
      </c>
      <c r="C647" s="58" t="s">
        <v>95</v>
      </c>
      <c r="D647" s="70">
        <v>0.0002</v>
      </c>
      <c r="E647" s="60"/>
      <c r="F647" s="86">
        <v>240.82</v>
      </c>
      <c r="G647" s="61" t="s">
        <v>77</v>
      </c>
      <c r="H647" s="62" t="s">
        <v>126</v>
      </c>
      <c r="I647" s="83">
        <f t="shared" si="38"/>
        <v>0.0481</v>
      </c>
    </row>
    <row r="648" spans="1:9" s="73" customFormat="1" ht="14.25">
      <c r="A648" s="58" t="s">
        <v>90</v>
      </c>
      <c r="B648" s="59" t="s">
        <v>80</v>
      </c>
      <c r="C648" s="69" t="s">
        <v>81</v>
      </c>
      <c r="D648" s="84">
        <f>ROUND((D646)/176,6)</f>
        <v>3.1E-05</v>
      </c>
      <c r="E648" s="60"/>
      <c r="F648" s="83">
        <f>TRUNC(171.37*(1+Orcamento!$E$106),4)</f>
        <v>190.4434</v>
      </c>
      <c r="G648" s="77" t="s">
        <v>82</v>
      </c>
      <c r="H648" s="72" t="s">
        <v>57</v>
      </c>
      <c r="I648" s="83">
        <f t="shared" si="38"/>
        <v>0.0059</v>
      </c>
    </row>
    <row r="649" spans="1:9" s="73" customFormat="1" ht="14.25">
      <c r="A649" s="58" t="s">
        <v>91</v>
      </c>
      <c r="B649" s="74" t="s">
        <v>83</v>
      </c>
      <c r="C649" s="75" t="s">
        <v>84</v>
      </c>
      <c r="D649" s="85">
        <f>ROUND((D646)/(176*12),6)</f>
        <v>3E-06</v>
      </c>
      <c r="E649" s="76"/>
      <c r="F649" s="83">
        <f>TRUNC(6461.72*(1+Orcamento!$E$107),4)</f>
        <v>6736.9892</v>
      </c>
      <c r="G649" s="71" t="s">
        <v>85</v>
      </c>
      <c r="H649" s="72" t="s">
        <v>86</v>
      </c>
      <c r="I649" s="83">
        <f t="shared" si="38"/>
        <v>0.0202</v>
      </c>
    </row>
    <row r="650" spans="1:9" s="11" customFormat="1" ht="15">
      <c r="A650" s="58" t="s">
        <v>97</v>
      </c>
      <c r="B650" s="59" t="s">
        <v>36</v>
      </c>
      <c r="C650" s="58" t="s">
        <v>95</v>
      </c>
      <c r="D650" s="70">
        <f>ROUND(D646*1,4)</f>
        <v>0.0055</v>
      </c>
      <c r="E650" s="60"/>
      <c r="F650" s="86">
        <f>TRUNC(0.35*(1+Orcamento!$E$106),4)</f>
        <v>0.3889</v>
      </c>
      <c r="G650" s="68" t="s">
        <v>82</v>
      </c>
      <c r="H650" s="62" t="s">
        <v>89</v>
      </c>
      <c r="I650" s="83">
        <f t="shared" si="38"/>
        <v>0.0021</v>
      </c>
    </row>
    <row r="651" spans="1:9" s="11" customFormat="1" ht="15">
      <c r="A651" s="58" t="s">
        <v>98</v>
      </c>
      <c r="B651" s="59" t="s">
        <v>37</v>
      </c>
      <c r="C651" s="58" t="s">
        <v>95</v>
      </c>
      <c r="D651" s="70">
        <f>ROUND(D650*0.5,4)</f>
        <v>0.0028</v>
      </c>
      <c r="E651" s="60"/>
      <c r="F651" s="86">
        <f>TRUNC(5*(1+Orcamento!$E$106),4)</f>
        <v>5.5565</v>
      </c>
      <c r="G651" s="68" t="s">
        <v>82</v>
      </c>
      <c r="H651" s="62" t="s">
        <v>87</v>
      </c>
      <c r="I651" s="83">
        <f t="shared" si="38"/>
        <v>0.0155</v>
      </c>
    </row>
    <row r="652" s="11" customFormat="1" ht="15">
      <c r="B652" s="6"/>
    </row>
    <row r="653" spans="2:5" s="11" customFormat="1" ht="15">
      <c r="B653" s="6"/>
      <c r="C653" s="7"/>
      <c r="D653" s="7"/>
      <c r="E653" s="7"/>
    </row>
    <row r="654" spans="1:9" s="11" customFormat="1" ht="15">
      <c r="A654" s="46" t="s">
        <v>29</v>
      </c>
      <c r="B654" s="46" t="s">
        <v>30</v>
      </c>
      <c r="C654" s="47"/>
      <c r="D654" s="47"/>
      <c r="E654" s="47"/>
      <c r="F654" s="47"/>
      <c r="G654" s="48"/>
      <c r="H654" s="45" t="s">
        <v>70</v>
      </c>
      <c r="I654" s="45" t="s">
        <v>69</v>
      </c>
    </row>
    <row r="655" spans="1:9" s="11" customFormat="1" ht="15">
      <c r="A655" s="49" t="s">
        <v>261</v>
      </c>
      <c r="B655" s="120" t="s">
        <v>170</v>
      </c>
      <c r="C655" s="121"/>
      <c r="D655" s="121"/>
      <c r="E655" s="121"/>
      <c r="F655" s="121"/>
      <c r="G655" s="122"/>
      <c r="H655" s="123" t="s">
        <v>180</v>
      </c>
      <c r="I655" s="124">
        <f>TRUNC(SUM(I657:I663),2)</f>
        <v>2.22</v>
      </c>
    </row>
    <row r="656" spans="1:9" s="11" customFormat="1" ht="15.75" customHeight="1">
      <c r="A656" s="51" t="s">
        <v>1</v>
      </c>
      <c r="B656" s="52" t="s">
        <v>2</v>
      </c>
      <c r="C656" s="52" t="s">
        <v>31</v>
      </c>
      <c r="D656" s="53" t="s">
        <v>32</v>
      </c>
      <c r="E656" s="54" t="s">
        <v>33</v>
      </c>
      <c r="F656" s="55" t="s">
        <v>4</v>
      </c>
      <c r="G656" s="56" t="s">
        <v>33</v>
      </c>
      <c r="H656" s="57"/>
      <c r="I656" s="53" t="s">
        <v>71</v>
      </c>
    </row>
    <row r="657" spans="1:9" s="11" customFormat="1" ht="28.5">
      <c r="A657" s="58">
        <v>1</v>
      </c>
      <c r="B657" s="59" t="s">
        <v>125</v>
      </c>
      <c r="C657" s="58" t="s">
        <v>79</v>
      </c>
      <c r="D657" s="70">
        <f>ROUND((D658)*0.05,4)</f>
        <v>0.001</v>
      </c>
      <c r="E657" s="97">
        <v>0.05</v>
      </c>
      <c r="F657" s="86">
        <v>147.75</v>
      </c>
      <c r="G657" s="61" t="s">
        <v>92</v>
      </c>
      <c r="H657" s="62">
        <v>90779</v>
      </c>
      <c r="I657" s="83">
        <f aca="true" t="shared" si="39" ref="I657:I663">TRUNC(D657*F657,4)</f>
        <v>0.1477</v>
      </c>
    </row>
    <row r="658" spans="1:9" s="11" customFormat="1" ht="28.5">
      <c r="A658" s="58">
        <v>2</v>
      </c>
      <c r="B658" s="59" t="s">
        <v>39</v>
      </c>
      <c r="C658" s="58" t="s">
        <v>79</v>
      </c>
      <c r="D658" s="70">
        <v>0.0203</v>
      </c>
      <c r="E658" s="60"/>
      <c r="F658" s="86">
        <v>92.28</v>
      </c>
      <c r="G658" s="61" t="s">
        <v>64</v>
      </c>
      <c r="H658" s="62">
        <v>91677</v>
      </c>
      <c r="I658" s="83">
        <f t="shared" si="39"/>
        <v>1.8732</v>
      </c>
    </row>
    <row r="659" spans="1:9" s="11" customFormat="1" ht="15">
      <c r="A659" s="58">
        <v>3</v>
      </c>
      <c r="B659" s="59" t="s">
        <v>48</v>
      </c>
      <c r="C659" s="58" t="s">
        <v>95</v>
      </c>
      <c r="D659" s="70">
        <v>0.0002</v>
      </c>
      <c r="E659" s="60"/>
      <c r="F659" s="86">
        <v>240.82</v>
      </c>
      <c r="G659" s="61" t="s">
        <v>77</v>
      </c>
      <c r="H659" s="62" t="s">
        <v>126</v>
      </c>
      <c r="I659" s="83">
        <f t="shared" si="39"/>
        <v>0.0481</v>
      </c>
    </row>
    <row r="660" spans="1:9" s="73" customFormat="1" ht="14.25">
      <c r="A660" s="58" t="s">
        <v>90</v>
      </c>
      <c r="B660" s="59" t="s">
        <v>80</v>
      </c>
      <c r="C660" s="69" t="s">
        <v>81</v>
      </c>
      <c r="D660" s="84">
        <f>ROUND((D658)/176,6)</f>
        <v>0.000115</v>
      </c>
      <c r="E660" s="60"/>
      <c r="F660" s="83">
        <f>TRUNC(171.37*(1+Orcamento!$E$106),4)</f>
        <v>190.4434</v>
      </c>
      <c r="G660" s="77" t="s">
        <v>82</v>
      </c>
      <c r="H660" s="72" t="s">
        <v>57</v>
      </c>
      <c r="I660" s="83">
        <f t="shared" si="39"/>
        <v>0.0219</v>
      </c>
    </row>
    <row r="661" spans="1:9" s="73" customFormat="1" ht="14.25">
      <c r="A661" s="58" t="s">
        <v>91</v>
      </c>
      <c r="B661" s="74" t="s">
        <v>83</v>
      </c>
      <c r="C661" s="75" t="s">
        <v>84</v>
      </c>
      <c r="D661" s="85">
        <f>ROUND((D658)/(176*12),6)</f>
        <v>1E-05</v>
      </c>
      <c r="E661" s="76"/>
      <c r="F661" s="83">
        <f>TRUNC(6461.72*(1+Orcamento!$E$107),4)</f>
        <v>6736.9892</v>
      </c>
      <c r="G661" s="71" t="s">
        <v>85</v>
      </c>
      <c r="H661" s="72" t="s">
        <v>86</v>
      </c>
      <c r="I661" s="83">
        <f t="shared" si="39"/>
        <v>0.0673</v>
      </c>
    </row>
    <row r="662" spans="1:9" s="11" customFormat="1" ht="15">
      <c r="A662" s="58" t="s">
        <v>97</v>
      </c>
      <c r="B662" s="59" t="s">
        <v>36</v>
      </c>
      <c r="C662" s="58" t="s">
        <v>95</v>
      </c>
      <c r="D662" s="70">
        <f>ROUND(D658*1,4)</f>
        <v>0.0203</v>
      </c>
      <c r="E662" s="60"/>
      <c r="F662" s="86">
        <f>TRUNC(0.35*(1+Orcamento!$E$106),4)</f>
        <v>0.3889</v>
      </c>
      <c r="G662" s="68" t="s">
        <v>82</v>
      </c>
      <c r="H662" s="62" t="s">
        <v>89</v>
      </c>
      <c r="I662" s="83">
        <f t="shared" si="39"/>
        <v>0.0078</v>
      </c>
    </row>
    <row r="663" spans="1:9" s="11" customFormat="1" ht="15">
      <c r="A663" s="58" t="s">
        <v>98</v>
      </c>
      <c r="B663" s="59" t="s">
        <v>37</v>
      </c>
      <c r="C663" s="58" t="s">
        <v>95</v>
      </c>
      <c r="D663" s="70">
        <f>ROUND(D662*0.5,4)</f>
        <v>0.0102</v>
      </c>
      <c r="E663" s="60"/>
      <c r="F663" s="86">
        <f>TRUNC(5*(1+Orcamento!$E$106),4)</f>
        <v>5.5565</v>
      </c>
      <c r="G663" s="68" t="s">
        <v>82</v>
      </c>
      <c r="H663" s="62" t="s">
        <v>87</v>
      </c>
      <c r="I663" s="83">
        <f t="shared" si="39"/>
        <v>0.0566</v>
      </c>
    </row>
    <row r="664" s="11" customFormat="1" ht="15">
      <c r="B664" s="6"/>
    </row>
    <row r="665" spans="2:9" s="11" customFormat="1" ht="15">
      <c r="B665" s="125"/>
      <c r="C665" s="63"/>
      <c r="D665" s="63"/>
      <c r="E665" s="63"/>
      <c r="F665" s="126"/>
      <c r="G665" s="126"/>
      <c r="H665" s="126"/>
      <c r="I665" s="126"/>
    </row>
    <row r="666" spans="1:9" s="11" customFormat="1" ht="15">
      <c r="A666" s="46" t="s">
        <v>29</v>
      </c>
      <c r="B666" s="46" t="s">
        <v>30</v>
      </c>
      <c r="C666" s="47"/>
      <c r="D666" s="47"/>
      <c r="E666" s="47"/>
      <c r="F666" s="47"/>
      <c r="G666" s="48"/>
      <c r="H666" s="45" t="s">
        <v>70</v>
      </c>
      <c r="I666" s="45" t="s">
        <v>69</v>
      </c>
    </row>
    <row r="667" spans="1:9" s="11" customFormat="1" ht="15">
      <c r="A667" s="49" t="s">
        <v>308</v>
      </c>
      <c r="B667" s="120" t="s">
        <v>394</v>
      </c>
      <c r="C667" s="121"/>
      <c r="D667" s="121"/>
      <c r="E667" s="121"/>
      <c r="F667" s="121"/>
      <c r="G667" s="122"/>
      <c r="H667" s="123" t="s">
        <v>180</v>
      </c>
      <c r="I667" s="124">
        <f>TRUNC(SUM(I669:I675),2)</f>
        <v>1.35</v>
      </c>
    </row>
    <row r="668" spans="1:9" s="11" customFormat="1" ht="15.75" customHeight="1">
      <c r="A668" s="51" t="s">
        <v>1</v>
      </c>
      <c r="B668" s="52" t="s">
        <v>2</v>
      </c>
      <c r="C668" s="52" t="s">
        <v>31</v>
      </c>
      <c r="D668" s="53" t="s">
        <v>32</v>
      </c>
      <c r="E668" s="54" t="s">
        <v>33</v>
      </c>
      <c r="F668" s="55" t="s">
        <v>4</v>
      </c>
      <c r="G668" s="56" t="s">
        <v>33</v>
      </c>
      <c r="H668" s="57"/>
      <c r="I668" s="53" t="s">
        <v>71</v>
      </c>
    </row>
    <row r="669" spans="1:9" s="11" customFormat="1" ht="28.5">
      <c r="A669" s="58">
        <v>1</v>
      </c>
      <c r="B669" s="59" t="s">
        <v>125</v>
      </c>
      <c r="C669" s="58" t="s">
        <v>79</v>
      </c>
      <c r="D669" s="70">
        <f>ROUND((D670)*0.05,4)</f>
        <v>0.0006</v>
      </c>
      <c r="E669" s="97">
        <v>0.05</v>
      </c>
      <c r="F669" s="86">
        <v>147.75</v>
      </c>
      <c r="G669" s="61" t="s">
        <v>92</v>
      </c>
      <c r="H669" s="62">
        <v>90779</v>
      </c>
      <c r="I669" s="83">
        <f aca="true" t="shared" si="40" ref="I669:I675">TRUNC(D669*F669,4)</f>
        <v>0.0886</v>
      </c>
    </row>
    <row r="670" spans="1:9" s="11" customFormat="1" ht="28.5">
      <c r="A670" s="58">
        <v>2</v>
      </c>
      <c r="B670" s="59" t="s">
        <v>39</v>
      </c>
      <c r="C670" s="58" t="s">
        <v>79</v>
      </c>
      <c r="D670" s="70">
        <f>ROUND(D658*0.6,4)</f>
        <v>0.0122</v>
      </c>
      <c r="E670" s="60"/>
      <c r="F670" s="86">
        <v>92.28</v>
      </c>
      <c r="G670" s="61" t="s">
        <v>64</v>
      </c>
      <c r="H670" s="62">
        <v>91677</v>
      </c>
      <c r="I670" s="83">
        <f t="shared" si="40"/>
        <v>1.1258</v>
      </c>
    </row>
    <row r="671" spans="1:9" s="11" customFormat="1" ht="15">
      <c r="A671" s="58">
        <v>3</v>
      </c>
      <c r="B671" s="59" t="s">
        <v>48</v>
      </c>
      <c r="C671" s="58" t="s">
        <v>95</v>
      </c>
      <c r="D671" s="70">
        <v>0.0002</v>
      </c>
      <c r="E671" s="60"/>
      <c r="F671" s="86">
        <v>240.82</v>
      </c>
      <c r="G671" s="61" t="s">
        <v>77</v>
      </c>
      <c r="H671" s="62" t="s">
        <v>126</v>
      </c>
      <c r="I671" s="83">
        <f t="shared" si="40"/>
        <v>0.0481</v>
      </c>
    </row>
    <row r="672" spans="1:9" s="73" customFormat="1" ht="14.25">
      <c r="A672" s="58" t="s">
        <v>90</v>
      </c>
      <c r="B672" s="59" t="s">
        <v>80</v>
      </c>
      <c r="C672" s="69" t="s">
        <v>81</v>
      </c>
      <c r="D672" s="84">
        <f>ROUND((D670)/176,6)</f>
        <v>6.9E-05</v>
      </c>
      <c r="E672" s="60"/>
      <c r="F672" s="83">
        <f>TRUNC(171.37*(1+Orcamento!$E$106),4)</f>
        <v>190.4434</v>
      </c>
      <c r="G672" s="77" t="s">
        <v>82</v>
      </c>
      <c r="H672" s="72" t="s">
        <v>57</v>
      </c>
      <c r="I672" s="83">
        <f t="shared" si="40"/>
        <v>0.0131</v>
      </c>
    </row>
    <row r="673" spans="1:9" s="73" customFormat="1" ht="14.25">
      <c r="A673" s="58" t="s">
        <v>91</v>
      </c>
      <c r="B673" s="74" t="s">
        <v>83</v>
      </c>
      <c r="C673" s="75" t="s">
        <v>84</v>
      </c>
      <c r="D673" s="85">
        <f>ROUND((D670)/(176*12),6)</f>
        <v>6E-06</v>
      </c>
      <c r="E673" s="76"/>
      <c r="F673" s="83">
        <f>TRUNC(6461.72*(1+Orcamento!$E$107),4)</f>
        <v>6736.9892</v>
      </c>
      <c r="G673" s="71" t="s">
        <v>85</v>
      </c>
      <c r="H673" s="72" t="s">
        <v>86</v>
      </c>
      <c r="I673" s="83">
        <f t="shared" si="40"/>
        <v>0.0404</v>
      </c>
    </row>
    <row r="674" spans="1:9" s="11" customFormat="1" ht="15">
      <c r="A674" s="58" t="s">
        <v>97</v>
      </c>
      <c r="B674" s="59" t="s">
        <v>36</v>
      </c>
      <c r="C674" s="58" t="s">
        <v>95</v>
      </c>
      <c r="D674" s="70">
        <f>ROUND(D670*1,4)</f>
        <v>0.0122</v>
      </c>
      <c r="E674" s="60"/>
      <c r="F674" s="86">
        <f>TRUNC(0.35*(1+Orcamento!$E$106),4)</f>
        <v>0.3889</v>
      </c>
      <c r="G674" s="68" t="s">
        <v>82</v>
      </c>
      <c r="H674" s="62" t="s">
        <v>89</v>
      </c>
      <c r="I674" s="83">
        <f t="shared" si="40"/>
        <v>0.0047</v>
      </c>
    </row>
    <row r="675" spans="1:9" s="11" customFormat="1" ht="15">
      <c r="A675" s="58" t="s">
        <v>98</v>
      </c>
      <c r="B675" s="59" t="s">
        <v>37</v>
      </c>
      <c r="C675" s="58" t="s">
        <v>95</v>
      </c>
      <c r="D675" s="70">
        <f>ROUND(D674*0.5,4)</f>
        <v>0.0061</v>
      </c>
      <c r="E675" s="60"/>
      <c r="F675" s="86">
        <f>TRUNC(5*(1+Orcamento!$E$106),4)</f>
        <v>5.5565</v>
      </c>
      <c r="G675" s="68" t="s">
        <v>82</v>
      </c>
      <c r="H675" s="62" t="s">
        <v>87</v>
      </c>
      <c r="I675" s="83">
        <f t="shared" si="40"/>
        <v>0.0338</v>
      </c>
    </row>
    <row r="676" s="11" customFormat="1" ht="15">
      <c r="B676" s="6"/>
    </row>
    <row r="677" spans="2:9" s="11" customFormat="1" ht="15">
      <c r="B677" s="125"/>
      <c r="C677" s="63"/>
      <c r="D677" s="63"/>
      <c r="E677" s="63"/>
      <c r="F677" s="126"/>
      <c r="G677" s="126"/>
      <c r="H677" s="126"/>
      <c r="I677" s="126"/>
    </row>
    <row r="678" spans="1:9" s="11" customFormat="1" ht="15">
      <c r="A678" s="46" t="s">
        <v>29</v>
      </c>
      <c r="B678" s="46" t="s">
        <v>30</v>
      </c>
      <c r="C678" s="47"/>
      <c r="D678" s="47"/>
      <c r="E678" s="47"/>
      <c r="F678" s="47"/>
      <c r="G678" s="48"/>
      <c r="H678" s="45" t="s">
        <v>70</v>
      </c>
      <c r="I678" s="45" t="s">
        <v>69</v>
      </c>
    </row>
    <row r="679" spans="1:9" s="11" customFormat="1" ht="15">
      <c r="A679" s="49" t="s">
        <v>179</v>
      </c>
      <c r="B679" s="120" t="s">
        <v>329</v>
      </c>
      <c r="C679" s="121"/>
      <c r="D679" s="121"/>
      <c r="E679" s="121"/>
      <c r="F679" s="121"/>
      <c r="G679" s="122"/>
      <c r="H679" s="123" t="s">
        <v>10</v>
      </c>
      <c r="I679" s="124">
        <f>TRUNC(SUM(I681:I687),2)</f>
        <v>1226.28</v>
      </c>
    </row>
    <row r="680" spans="1:9" s="11" customFormat="1" ht="15.75" customHeight="1">
      <c r="A680" s="51" t="s">
        <v>1</v>
      </c>
      <c r="B680" s="52" t="s">
        <v>2</v>
      </c>
      <c r="C680" s="52" t="s">
        <v>31</v>
      </c>
      <c r="D680" s="53" t="s">
        <v>32</v>
      </c>
      <c r="E680" s="54" t="s">
        <v>33</v>
      </c>
      <c r="F680" s="55" t="s">
        <v>4</v>
      </c>
      <c r="G680" s="56" t="s">
        <v>33</v>
      </c>
      <c r="H680" s="57"/>
      <c r="I680" s="53" t="s">
        <v>71</v>
      </c>
    </row>
    <row r="681" spans="1:9" s="11" customFormat="1" ht="28.5">
      <c r="A681" s="58">
        <v>1</v>
      </c>
      <c r="B681" s="59" t="s">
        <v>125</v>
      </c>
      <c r="C681" s="58" t="s">
        <v>79</v>
      </c>
      <c r="D681" s="70">
        <f>ROUND((D682)*0.05,4)</f>
        <v>0.55</v>
      </c>
      <c r="E681" s="97">
        <v>0.05</v>
      </c>
      <c r="F681" s="86">
        <v>147.75</v>
      </c>
      <c r="G681" s="61" t="s">
        <v>92</v>
      </c>
      <c r="H681" s="62">
        <v>90779</v>
      </c>
      <c r="I681" s="83">
        <f aca="true" t="shared" si="41" ref="I681:I687">TRUNC(D681*F681,4)</f>
        <v>81.2625</v>
      </c>
    </row>
    <row r="682" spans="1:9" s="11" customFormat="1" ht="28.5">
      <c r="A682" s="58">
        <v>2</v>
      </c>
      <c r="B682" s="59" t="s">
        <v>39</v>
      </c>
      <c r="C682" s="58" t="s">
        <v>79</v>
      </c>
      <c r="D682" s="70">
        <v>11</v>
      </c>
      <c r="E682" s="60"/>
      <c r="F682" s="86">
        <v>92.28</v>
      </c>
      <c r="G682" s="61" t="s">
        <v>64</v>
      </c>
      <c r="H682" s="62">
        <v>91677</v>
      </c>
      <c r="I682" s="83">
        <f t="shared" si="41"/>
        <v>1015.08</v>
      </c>
    </row>
    <row r="683" spans="1:9" s="11" customFormat="1" ht="15">
      <c r="A683" s="58">
        <v>3</v>
      </c>
      <c r="B683" s="59" t="s">
        <v>48</v>
      </c>
      <c r="C683" s="58" t="s">
        <v>95</v>
      </c>
      <c r="D683" s="70">
        <v>0.2</v>
      </c>
      <c r="E683" s="60"/>
      <c r="F683" s="86">
        <v>240.82</v>
      </c>
      <c r="G683" s="61" t="s">
        <v>77</v>
      </c>
      <c r="H683" s="62" t="s">
        <v>126</v>
      </c>
      <c r="I683" s="83">
        <f t="shared" si="41"/>
        <v>48.164</v>
      </c>
    </row>
    <row r="684" spans="1:9" s="73" customFormat="1" ht="14.25">
      <c r="A684" s="58" t="s">
        <v>90</v>
      </c>
      <c r="B684" s="59" t="s">
        <v>80</v>
      </c>
      <c r="C684" s="69" t="s">
        <v>81</v>
      </c>
      <c r="D684" s="70">
        <f>ROUND((D682)/176,4)</f>
        <v>0.0625</v>
      </c>
      <c r="E684" s="60"/>
      <c r="F684" s="83">
        <f>TRUNC(171.37*(1+Orcamento!$E$106),4)</f>
        <v>190.4434</v>
      </c>
      <c r="G684" s="77" t="s">
        <v>82</v>
      </c>
      <c r="H684" s="72" t="s">
        <v>57</v>
      </c>
      <c r="I684" s="83">
        <f t="shared" si="41"/>
        <v>11.9027</v>
      </c>
    </row>
    <row r="685" spans="1:9" s="73" customFormat="1" ht="14.25">
      <c r="A685" s="58" t="s">
        <v>91</v>
      </c>
      <c r="B685" s="74" t="s">
        <v>83</v>
      </c>
      <c r="C685" s="75" t="s">
        <v>84</v>
      </c>
      <c r="D685" s="201">
        <f>ROUND((D682)/(176*12),4)</f>
        <v>0.0052</v>
      </c>
      <c r="E685" s="76"/>
      <c r="F685" s="83">
        <f>TRUNC(6461.72*(1+Orcamento!$E$107),4)</f>
        <v>6736.9892</v>
      </c>
      <c r="G685" s="71" t="s">
        <v>85</v>
      </c>
      <c r="H685" s="72" t="s">
        <v>86</v>
      </c>
      <c r="I685" s="83">
        <f t="shared" si="41"/>
        <v>35.0323</v>
      </c>
    </row>
    <row r="686" spans="1:9" s="11" customFormat="1" ht="15">
      <c r="A686" s="58" t="s">
        <v>97</v>
      </c>
      <c r="B686" s="59" t="s">
        <v>36</v>
      </c>
      <c r="C686" s="58" t="s">
        <v>95</v>
      </c>
      <c r="D686" s="70">
        <f>ROUND(D682*1,4)</f>
        <v>11</v>
      </c>
      <c r="E686" s="60"/>
      <c r="F686" s="86">
        <f>TRUNC(0.35*(1+Orcamento!$E$106),4)</f>
        <v>0.3889</v>
      </c>
      <c r="G686" s="68" t="s">
        <v>82</v>
      </c>
      <c r="H686" s="62" t="s">
        <v>89</v>
      </c>
      <c r="I686" s="83">
        <f t="shared" si="41"/>
        <v>4.2779</v>
      </c>
    </row>
    <row r="687" spans="1:9" s="11" customFormat="1" ht="15">
      <c r="A687" s="58" t="s">
        <v>98</v>
      </c>
      <c r="B687" s="59" t="s">
        <v>37</v>
      </c>
      <c r="C687" s="58" t="s">
        <v>95</v>
      </c>
      <c r="D687" s="70">
        <f>ROUND(D686*0.5,4)</f>
        <v>5.5</v>
      </c>
      <c r="E687" s="60"/>
      <c r="F687" s="86">
        <f>TRUNC(5*(1+Orcamento!$E$106),4)</f>
        <v>5.5565</v>
      </c>
      <c r="G687" s="68" t="s">
        <v>82</v>
      </c>
      <c r="H687" s="62" t="s">
        <v>87</v>
      </c>
      <c r="I687" s="83">
        <f t="shared" si="41"/>
        <v>30.5607</v>
      </c>
    </row>
    <row r="688" s="11" customFormat="1" ht="15">
      <c r="B688" s="6"/>
    </row>
    <row r="689" spans="2:5" s="11" customFormat="1" ht="15">
      <c r="B689" s="6"/>
      <c r="C689" s="7"/>
      <c r="D689" s="7"/>
      <c r="E689" s="7"/>
    </row>
    <row r="690" spans="1:9" s="11" customFormat="1" ht="15">
      <c r="A690" s="46" t="s">
        <v>29</v>
      </c>
      <c r="B690" s="46" t="s">
        <v>30</v>
      </c>
      <c r="C690" s="47"/>
      <c r="D690" s="47"/>
      <c r="E690" s="47"/>
      <c r="F690" s="47"/>
      <c r="G690" s="48"/>
      <c r="H690" s="45" t="s">
        <v>70</v>
      </c>
      <c r="I690" s="45" t="s">
        <v>69</v>
      </c>
    </row>
    <row r="691" spans="1:9" s="11" customFormat="1" ht="15">
      <c r="A691" s="49" t="s">
        <v>303</v>
      </c>
      <c r="B691" s="120" t="s">
        <v>169</v>
      </c>
      <c r="C691" s="121"/>
      <c r="D691" s="121"/>
      <c r="E691" s="121"/>
      <c r="F691" s="121"/>
      <c r="G691" s="122"/>
      <c r="H691" s="123" t="s">
        <v>10</v>
      </c>
      <c r="I691" s="124">
        <f>TRUNC(SUM(I693:I699),2)</f>
        <v>3689.8</v>
      </c>
    </row>
    <row r="692" spans="1:9" s="11" customFormat="1" ht="15.75" customHeight="1">
      <c r="A692" s="51" t="s">
        <v>1</v>
      </c>
      <c r="B692" s="52" t="s">
        <v>2</v>
      </c>
      <c r="C692" s="52" t="s">
        <v>31</v>
      </c>
      <c r="D692" s="53" t="s">
        <v>32</v>
      </c>
      <c r="E692" s="54" t="s">
        <v>33</v>
      </c>
      <c r="F692" s="55" t="s">
        <v>4</v>
      </c>
      <c r="G692" s="56" t="s">
        <v>33</v>
      </c>
      <c r="H692" s="57"/>
      <c r="I692" s="53" t="s">
        <v>71</v>
      </c>
    </row>
    <row r="693" spans="1:9" s="11" customFormat="1" ht="28.5">
      <c r="A693" s="58">
        <v>1</v>
      </c>
      <c r="B693" s="59" t="s">
        <v>125</v>
      </c>
      <c r="C693" s="58" t="s">
        <v>79</v>
      </c>
      <c r="D693" s="70">
        <f>ROUND((D694)*0.05,4)</f>
        <v>1.7</v>
      </c>
      <c r="E693" s="97">
        <v>0.05</v>
      </c>
      <c r="F693" s="86">
        <v>147.75</v>
      </c>
      <c r="G693" s="61" t="s">
        <v>92</v>
      </c>
      <c r="H693" s="62">
        <v>90779</v>
      </c>
      <c r="I693" s="83">
        <f aca="true" t="shared" si="42" ref="I693:I699">TRUNC(D693*F693,4)</f>
        <v>251.175</v>
      </c>
    </row>
    <row r="694" spans="1:9" s="11" customFormat="1" ht="28.5">
      <c r="A694" s="58">
        <v>2</v>
      </c>
      <c r="B694" s="59" t="s">
        <v>39</v>
      </c>
      <c r="C694" s="58" t="s">
        <v>79</v>
      </c>
      <c r="D694" s="70">
        <v>34</v>
      </c>
      <c r="E694" s="60"/>
      <c r="F694" s="86">
        <v>92.28</v>
      </c>
      <c r="G694" s="61" t="s">
        <v>64</v>
      </c>
      <c r="H694" s="62">
        <v>91677</v>
      </c>
      <c r="I694" s="83">
        <f t="shared" si="42"/>
        <v>3137.52</v>
      </c>
    </row>
    <row r="695" spans="1:9" s="11" customFormat="1" ht="15">
      <c r="A695" s="58">
        <v>3</v>
      </c>
      <c r="B695" s="59" t="s">
        <v>48</v>
      </c>
      <c r="C695" s="58" t="s">
        <v>95</v>
      </c>
      <c r="D695" s="70">
        <v>0.2</v>
      </c>
      <c r="E695" s="60"/>
      <c r="F695" s="86">
        <v>240.82</v>
      </c>
      <c r="G695" s="61" t="s">
        <v>77</v>
      </c>
      <c r="H695" s="62" t="s">
        <v>126</v>
      </c>
      <c r="I695" s="83">
        <f t="shared" si="42"/>
        <v>48.164</v>
      </c>
    </row>
    <row r="696" spans="1:9" s="73" customFormat="1" ht="14.25">
      <c r="A696" s="58" t="s">
        <v>90</v>
      </c>
      <c r="B696" s="59" t="s">
        <v>80</v>
      </c>
      <c r="C696" s="69" t="s">
        <v>81</v>
      </c>
      <c r="D696" s="70">
        <f>ROUND((D694)/176,4)</f>
        <v>0.1932</v>
      </c>
      <c r="E696" s="60"/>
      <c r="F696" s="83">
        <f>TRUNC(171.37*(1+Orcamento!$E$106),4)</f>
        <v>190.4434</v>
      </c>
      <c r="G696" s="77" t="s">
        <v>82</v>
      </c>
      <c r="H696" s="72" t="s">
        <v>57</v>
      </c>
      <c r="I696" s="83">
        <f t="shared" si="42"/>
        <v>36.7936</v>
      </c>
    </row>
    <row r="697" spans="1:9" s="73" customFormat="1" ht="14.25">
      <c r="A697" s="58" t="s">
        <v>91</v>
      </c>
      <c r="B697" s="74" t="s">
        <v>83</v>
      </c>
      <c r="C697" s="75" t="s">
        <v>84</v>
      </c>
      <c r="D697" s="201">
        <f>ROUND((D694)/(176*12),4)</f>
        <v>0.0161</v>
      </c>
      <c r="E697" s="76"/>
      <c r="F697" s="83">
        <f>TRUNC(6461.72*(1+Orcamento!$E$107),4)</f>
        <v>6736.9892</v>
      </c>
      <c r="G697" s="71" t="s">
        <v>85</v>
      </c>
      <c r="H697" s="72" t="s">
        <v>86</v>
      </c>
      <c r="I697" s="83">
        <f t="shared" si="42"/>
        <v>108.4655</v>
      </c>
    </row>
    <row r="698" spans="1:9" s="11" customFormat="1" ht="15">
      <c r="A698" s="58" t="s">
        <v>97</v>
      </c>
      <c r="B698" s="59" t="s">
        <v>36</v>
      </c>
      <c r="C698" s="58" t="s">
        <v>95</v>
      </c>
      <c r="D698" s="70">
        <f>ROUND(D694*1,4)</f>
        <v>34</v>
      </c>
      <c r="E698" s="60"/>
      <c r="F698" s="86">
        <f>TRUNC(0.35*(1+Orcamento!$E$106),4)</f>
        <v>0.3889</v>
      </c>
      <c r="G698" s="68" t="s">
        <v>82</v>
      </c>
      <c r="H698" s="62" t="s">
        <v>89</v>
      </c>
      <c r="I698" s="83">
        <f t="shared" si="42"/>
        <v>13.2226</v>
      </c>
    </row>
    <row r="699" spans="1:9" s="11" customFormat="1" ht="15">
      <c r="A699" s="58" t="s">
        <v>98</v>
      </c>
      <c r="B699" s="59" t="s">
        <v>37</v>
      </c>
      <c r="C699" s="58" t="s">
        <v>95</v>
      </c>
      <c r="D699" s="70">
        <f>ROUND(D698*0.5,4)</f>
        <v>17</v>
      </c>
      <c r="E699" s="60"/>
      <c r="F699" s="86">
        <f>TRUNC(5*(1+Orcamento!$E$106),4)</f>
        <v>5.5565</v>
      </c>
      <c r="G699" s="68" t="s">
        <v>82</v>
      </c>
      <c r="H699" s="62" t="s">
        <v>87</v>
      </c>
      <c r="I699" s="83">
        <f t="shared" si="42"/>
        <v>94.4605</v>
      </c>
    </row>
    <row r="700" s="11" customFormat="1" ht="15">
      <c r="B700" s="6"/>
    </row>
    <row r="701" spans="2:5" s="11" customFormat="1" ht="15">
      <c r="B701" s="6"/>
      <c r="C701" s="7"/>
      <c r="D701" s="7"/>
      <c r="E701" s="7"/>
    </row>
    <row r="702" spans="1:9" s="11" customFormat="1" ht="15">
      <c r="A702" s="46" t="s">
        <v>29</v>
      </c>
      <c r="B702" s="46" t="s">
        <v>30</v>
      </c>
      <c r="C702" s="47"/>
      <c r="D702" s="47"/>
      <c r="E702" s="47"/>
      <c r="F702" s="47"/>
      <c r="G702" s="48"/>
      <c r="H702" s="45" t="s">
        <v>70</v>
      </c>
      <c r="I702" s="45" t="s">
        <v>69</v>
      </c>
    </row>
    <row r="703" spans="1:9" s="11" customFormat="1" ht="15">
      <c r="A703" s="49" t="s">
        <v>248</v>
      </c>
      <c r="B703" s="120" t="s">
        <v>395</v>
      </c>
      <c r="C703" s="121"/>
      <c r="D703" s="121"/>
      <c r="E703" s="121"/>
      <c r="F703" s="121"/>
      <c r="G703" s="122"/>
      <c r="H703" s="123" t="s">
        <v>10</v>
      </c>
      <c r="I703" s="124">
        <f>TRUNC(SUM(I705:I711),2)</f>
        <v>2233.13</v>
      </c>
    </row>
    <row r="704" spans="1:9" s="11" customFormat="1" ht="15.75" customHeight="1">
      <c r="A704" s="51" t="s">
        <v>1</v>
      </c>
      <c r="B704" s="52" t="s">
        <v>2</v>
      </c>
      <c r="C704" s="52" t="s">
        <v>31</v>
      </c>
      <c r="D704" s="53" t="s">
        <v>32</v>
      </c>
      <c r="E704" s="54" t="s">
        <v>33</v>
      </c>
      <c r="F704" s="55" t="s">
        <v>4</v>
      </c>
      <c r="G704" s="56" t="s">
        <v>33</v>
      </c>
      <c r="H704" s="57"/>
      <c r="I704" s="53" t="s">
        <v>71</v>
      </c>
    </row>
    <row r="705" spans="1:9" s="11" customFormat="1" ht="28.5">
      <c r="A705" s="58">
        <v>1</v>
      </c>
      <c r="B705" s="59" t="s">
        <v>125</v>
      </c>
      <c r="C705" s="58" t="s">
        <v>79</v>
      </c>
      <c r="D705" s="70">
        <f>ROUND((D706)*0.05,4)</f>
        <v>1.02</v>
      </c>
      <c r="E705" s="97">
        <v>0.05</v>
      </c>
      <c r="F705" s="86">
        <v>147.75</v>
      </c>
      <c r="G705" s="61" t="s">
        <v>92</v>
      </c>
      <c r="H705" s="62">
        <v>90779</v>
      </c>
      <c r="I705" s="83">
        <f aca="true" t="shared" si="43" ref="I705:I711">TRUNC(D705*F705,4)</f>
        <v>150.705</v>
      </c>
    </row>
    <row r="706" spans="1:9" s="11" customFormat="1" ht="28.5">
      <c r="A706" s="58">
        <v>2</v>
      </c>
      <c r="B706" s="59" t="s">
        <v>39</v>
      </c>
      <c r="C706" s="58" t="s">
        <v>79</v>
      </c>
      <c r="D706" s="70">
        <f>ROUND(D694*0.6,4)</f>
        <v>20.4</v>
      </c>
      <c r="E706" s="60"/>
      <c r="F706" s="86">
        <v>92.28</v>
      </c>
      <c r="G706" s="61" t="s">
        <v>64</v>
      </c>
      <c r="H706" s="62">
        <v>91677</v>
      </c>
      <c r="I706" s="83">
        <f t="shared" si="43"/>
        <v>1882.512</v>
      </c>
    </row>
    <row r="707" spans="1:9" s="11" customFormat="1" ht="15">
      <c r="A707" s="58">
        <v>3</v>
      </c>
      <c r="B707" s="59" t="s">
        <v>48</v>
      </c>
      <c r="C707" s="58" t="s">
        <v>95</v>
      </c>
      <c r="D707" s="70">
        <v>0.2</v>
      </c>
      <c r="E707" s="60"/>
      <c r="F707" s="86">
        <v>240.82</v>
      </c>
      <c r="G707" s="61" t="s">
        <v>77</v>
      </c>
      <c r="H707" s="62" t="s">
        <v>126</v>
      </c>
      <c r="I707" s="83">
        <f t="shared" si="43"/>
        <v>48.164</v>
      </c>
    </row>
    <row r="708" spans="1:9" s="73" customFormat="1" ht="14.25">
      <c r="A708" s="58" t="s">
        <v>90</v>
      </c>
      <c r="B708" s="59" t="s">
        <v>80</v>
      </c>
      <c r="C708" s="69" t="s">
        <v>81</v>
      </c>
      <c r="D708" s="84">
        <f>ROUND((D706)/176,6)</f>
        <v>0.115909</v>
      </c>
      <c r="E708" s="60"/>
      <c r="F708" s="83">
        <f>TRUNC(171.37*(1+Orcamento!$E$106),4)</f>
        <v>190.4434</v>
      </c>
      <c r="G708" s="77" t="s">
        <v>82</v>
      </c>
      <c r="H708" s="72" t="s">
        <v>57</v>
      </c>
      <c r="I708" s="83">
        <f t="shared" si="43"/>
        <v>22.0741</v>
      </c>
    </row>
    <row r="709" spans="1:9" s="73" customFormat="1" ht="14.25">
      <c r="A709" s="58" t="s">
        <v>91</v>
      </c>
      <c r="B709" s="74" t="s">
        <v>83</v>
      </c>
      <c r="C709" s="75" t="s">
        <v>84</v>
      </c>
      <c r="D709" s="85">
        <f>ROUND((D706)/(176*12),6)</f>
        <v>0.009659</v>
      </c>
      <c r="E709" s="76"/>
      <c r="F709" s="83">
        <f>TRUNC(6461.72*(1+Orcamento!$E$107),4)</f>
        <v>6736.9892</v>
      </c>
      <c r="G709" s="71" t="s">
        <v>85</v>
      </c>
      <c r="H709" s="72" t="s">
        <v>86</v>
      </c>
      <c r="I709" s="83">
        <f t="shared" si="43"/>
        <v>65.0725</v>
      </c>
    </row>
    <row r="710" spans="1:9" s="11" customFormat="1" ht="15">
      <c r="A710" s="58" t="s">
        <v>97</v>
      </c>
      <c r="B710" s="59" t="s">
        <v>36</v>
      </c>
      <c r="C710" s="58" t="s">
        <v>95</v>
      </c>
      <c r="D710" s="70">
        <f>ROUND(D706*1,4)</f>
        <v>20.4</v>
      </c>
      <c r="E710" s="60"/>
      <c r="F710" s="86">
        <f>TRUNC(0.35*(1+Orcamento!$E$106),4)</f>
        <v>0.3889</v>
      </c>
      <c r="G710" s="68" t="s">
        <v>82</v>
      </c>
      <c r="H710" s="62" t="s">
        <v>89</v>
      </c>
      <c r="I710" s="83">
        <f t="shared" si="43"/>
        <v>7.9335</v>
      </c>
    </row>
    <row r="711" spans="1:9" s="11" customFormat="1" ht="15">
      <c r="A711" s="58" t="s">
        <v>98</v>
      </c>
      <c r="B711" s="59" t="s">
        <v>37</v>
      </c>
      <c r="C711" s="58" t="s">
        <v>95</v>
      </c>
      <c r="D711" s="70">
        <f>ROUND(D710*0.5,4)</f>
        <v>10.2</v>
      </c>
      <c r="E711" s="60"/>
      <c r="F711" s="86">
        <f>TRUNC(5*(1+Orcamento!$E$106),4)</f>
        <v>5.5565</v>
      </c>
      <c r="G711" s="68" t="s">
        <v>82</v>
      </c>
      <c r="H711" s="62" t="s">
        <v>87</v>
      </c>
      <c r="I711" s="83">
        <f t="shared" si="43"/>
        <v>56.6763</v>
      </c>
    </row>
    <row r="712" s="11" customFormat="1" ht="15">
      <c r="B712" s="6"/>
    </row>
    <row r="713" spans="2:5" s="11" customFormat="1" ht="15">
      <c r="B713" s="6"/>
      <c r="C713" s="7"/>
      <c r="D713" s="7"/>
      <c r="E713" s="7"/>
    </row>
    <row r="714" spans="1:9" s="11" customFormat="1" ht="15">
      <c r="A714" s="46" t="s">
        <v>29</v>
      </c>
      <c r="B714" s="46" t="s">
        <v>30</v>
      </c>
      <c r="C714" s="47"/>
      <c r="D714" s="47"/>
      <c r="E714" s="47"/>
      <c r="F714" s="47"/>
      <c r="G714" s="48"/>
      <c r="H714" s="45" t="s">
        <v>70</v>
      </c>
      <c r="I714" s="45" t="s">
        <v>69</v>
      </c>
    </row>
    <row r="715" spans="1:9" s="11" customFormat="1" ht="15">
      <c r="A715" s="49" t="s">
        <v>304</v>
      </c>
      <c r="B715" s="120" t="s">
        <v>157</v>
      </c>
      <c r="C715" s="121"/>
      <c r="D715" s="121"/>
      <c r="E715" s="121"/>
      <c r="F715" s="121"/>
      <c r="G715" s="122"/>
      <c r="H715" s="123" t="s">
        <v>180</v>
      </c>
      <c r="I715" s="124">
        <f>TRUNC(SUM(I717:I723),2)</f>
        <v>5.84</v>
      </c>
    </row>
    <row r="716" spans="1:9" s="11" customFormat="1" ht="15.75" customHeight="1">
      <c r="A716" s="51" t="s">
        <v>1</v>
      </c>
      <c r="B716" s="52" t="s">
        <v>2</v>
      </c>
      <c r="C716" s="52" t="s">
        <v>31</v>
      </c>
      <c r="D716" s="53" t="s">
        <v>32</v>
      </c>
      <c r="E716" s="54" t="s">
        <v>33</v>
      </c>
      <c r="F716" s="55" t="s">
        <v>4</v>
      </c>
      <c r="G716" s="56" t="s">
        <v>33</v>
      </c>
      <c r="H716" s="57"/>
      <c r="I716" s="53" t="s">
        <v>71</v>
      </c>
    </row>
    <row r="717" spans="1:9" s="11" customFormat="1" ht="28.5">
      <c r="A717" s="58">
        <v>1</v>
      </c>
      <c r="B717" s="59" t="s">
        <v>125</v>
      </c>
      <c r="C717" s="58" t="s">
        <v>79</v>
      </c>
      <c r="D717" s="70">
        <f>ROUND((D718)*0.05,4)</f>
        <v>0.0023</v>
      </c>
      <c r="E717" s="97">
        <v>0.05</v>
      </c>
      <c r="F717" s="86">
        <v>147.75</v>
      </c>
      <c r="G717" s="61" t="s">
        <v>92</v>
      </c>
      <c r="H717" s="62">
        <v>90779</v>
      </c>
      <c r="I717" s="83">
        <f aca="true" t="shared" si="44" ref="I717:I723">TRUNC(D717*F717,4)</f>
        <v>0.3398</v>
      </c>
    </row>
    <row r="718" spans="1:9" s="11" customFormat="1" ht="28.5">
      <c r="A718" s="58">
        <v>2</v>
      </c>
      <c r="B718" s="59" t="s">
        <v>38</v>
      </c>
      <c r="C718" s="58" t="s">
        <v>79</v>
      </c>
      <c r="D718" s="70">
        <v>0.0463</v>
      </c>
      <c r="E718" s="60"/>
      <c r="F718" s="86">
        <v>108.39</v>
      </c>
      <c r="G718" s="61" t="s">
        <v>64</v>
      </c>
      <c r="H718" s="62">
        <v>90778</v>
      </c>
      <c r="I718" s="83">
        <f t="shared" si="44"/>
        <v>5.0184</v>
      </c>
    </row>
    <row r="719" spans="1:9" s="11" customFormat="1" ht="15">
      <c r="A719" s="58">
        <v>3</v>
      </c>
      <c r="B719" s="59" t="s">
        <v>48</v>
      </c>
      <c r="C719" s="58" t="s">
        <v>95</v>
      </c>
      <c r="D719" s="70">
        <v>0.0006</v>
      </c>
      <c r="E719" s="60"/>
      <c r="F719" s="86">
        <v>240.82</v>
      </c>
      <c r="G719" s="61" t="s">
        <v>77</v>
      </c>
      <c r="H719" s="62" t="s">
        <v>126</v>
      </c>
      <c r="I719" s="83">
        <f t="shared" si="44"/>
        <v>0.1444</v>
      </c>
    </row>
    <row r="720" spans="1:9" s="73" customFormat="1" ht="14.25">
      <c r="A720" s="58" t="s">
        <v>90</v>
      </c>
      <c r="B720" s="59" t="s">
        <v>80</v>
      </c>
      <c r="C720" s="69" t="s">
        <v>81</v>
      </c>
      <c r="D720" s="84">
        <f>ROUND((D718)/176,6)</f>
        <v>0.000263</v>
      </c>
      <c r="E720" s="60"/>
      <c r="F720" s="83">
        <f>TRUNC(171.37*(1+Orcamento!$E$106),4)</f>
        <v>190.4434</v>
      </c>
      <c r="G720" s="77" t="s">
        <v>82</v>
      </c>
      <c r="H720" s="72" t="s">
        <v>57</v>
      </c>
      <c r="I720" s="83">
        <f t="shared" si="44"/>
        <v>0.05</v>
      </c>
    </row>
    <row r="721" spans="1:9" s="73" customFormat="1" ht="14.25">
      <c r="A721" s="58" t="s">
        <v>91</v>
      </c>
      <c r="B721" s="74" t="s">
        <v>83</v>
      </c>
      <c r="C721" s="75" t="s">
        <v>84</v>
      </c>
      <c r="D721" s="85">
        <f>ROUND((D718)/(176*12),6)</f>
        <v>2.2E-05</v>
      </c>
      <c r="E721" s="76"/>
      <c r="F721" s="83">
        <f>TRUNC(6461.72*(1+Orcamento!$E$107),4)</f>
        <v>6736.9892</v>
      </c>
      <c r="G721" s="71" t="s">
        <v>85</v>
      </c>
      <c r="H721" s="72" t="s">
        <v>86</v>
      </c>
      <c r="I721" s="83">
        <f t="shared" si="44"/>
        <v>0.1482</v>
      </c>
    </row>
    <row r="722" spans="1:9" s="11" customFormat="1" ht="15">
      <c r="A722" s="58" t="s">
        <v>97</v>
      </c>
      <c r="B722" s="59" t="s">
        <v>36</v>
      </c>
      <c r="C722" s="58" t="s">
        <v>95</v>
      </c>
      <c r="D722" s="70">
        <f>ROUND(D718*1,4)</f>
        <v>0.0463</v>
      </c>
      <c r="E722" s="60"/>
      <c r="F722" s="86">
        <f>TRUNC(0.35*(1+Orcamento!$E$106),4)</f>
        <v>0.3889</v>
      </c>
      <c r="G722" s="68" t="s">
        <v>82</v>
      </c>
      <c r="H722" s="62" t="s">
        <v>89</v>
      </c>
      <c r="I722" s="83">
        <f t="shared" si="44"/>
        <v>0.018</v>
      </c>
    </row>
    <row r="723" spans="1:9" s="11" customFormat="1" ht="15">
      <c r="A723" s="58" t="s">
        <v>98</v>
      </c>
      <c r="B723" s="59" t="s">
        <v>37</v>
      </c>
      <c r="C723" s="58" t="s">
        <v>95</v>
      </c>
      <c r="D723" s="70">
        <f>ROUND(D722*0.5,4)</f>
        <v>0.0232</v>
      </c>
      <c r="E723" s="60"/>
      <c r="F723" s="86">
        <f>TRUNC(5*(1+Orcamento!$E$106),4)</f>
        <v>5.5565</v>
      </c>
      <c r="G723" s="68" t="s">
        <v>82</v>
      </c>
      <c r="H723" s="62" t="s">
        <v>87</v>
      </c>
      <c r="I723" s="83">
        <f t="shared" si="44"/>
        <v>0.1289</v>
      </c>
    </row>
    <row r="724" s="11" customFormat="1" ht="15">
      <c r="B724" s="6"/>
    </row>
    <row r="725" spans="2:5" s="11" customFormat="1" ht="15">
      <c r="B725" s="6"/>
      <c r="C725" s="7"/>
      <c r="D725" s="7"/>
      <c r="E725" s="7"/>
    </row>
    <row r="726" spans="1:9" s="11" customFormat="1" ht="15">
      <c r="A726" s="46" t="s">
        <v>29</v>
      </c>
      <c r="B726" s="46" t="s">
        <v>30</v>
      </c>
      <c r="C726" s="47"/>
      <c r="D726" s="47"/>
      <c r="E726" s="47"/>
      <c r="F726" s="47"/>
      <c r="G726" s="48"/>
      <c r="H726" s="45" t="s">
        <v>70</v>
      </c>
      <c r="I726" s="45" t="s">
        <v>69</v>
      </c>
    </row>
    <row r="727" spans="1:9" s="11" customFormat="1" ht="15">
      <c r="A727" s="49" t="s">
        <v>249</v>
      </c>
      <c r="B727" s="120" t="s">
        <v>396</v>
      </c>
      <c r="C727" s="121"/>
      <c r="D727" s="121"/>
      <c r="E727" s="121"/>
      <c r="F727" s="121"/>
      <c r="G727" s="122"/>
      <c r="H727" s="123" t="s">
        <v>180</v>
      </c>
      <c r="I727" s="124">
        <f>TRUNC(SUM(I729:I735),2)</f>
        <v>3.56</v>
      </c>
    </row>
    <row r="728" spans="1:9" s="11" customFormat="1" ht="15.75" customHeight="1">
      <c r="A728" s="51" t="s">
        <v>1</v>
      </c>
      <c r="B728" s="52" t="s">
        <v>2</v>
      </c>
      <c r="C728" s="52" t="s">
        <v>31</v>
      </c>
      <c r="D728" s="53" t="s">
        <v>32</v>
      </c>
      <c r="E728" s="54" t="s">
        <v>33</v>
      </c>
      <c r="F728" s="55" t="s">
        <v>4</v>
      </c>
      <c r="G728" s="56" t="s">
        <v>33</v>
      </c>
      <c r="H728" s="57"/>
      <c r="I728" s="53" t="s">
        <v>71</v>
      </c>
    </row>
    <row r="729" spans="1:9" s="11" customFormat="1" ht="28.5">
      <c r="A729" s="58">
        <v>1</v>
      </c>
      <c r="B729" s="59" t="s">
        <v>125</v>
      </c>
      <c r="C729" s="58" t="s">
        <v>79</v>
      </c>
      <c r="D729" s="70">
        <f>ROUND((D730)*0.05,4)</f>
        <v>0.0014</v>
      </c>
      <c r="E729" s="97">
        <v>0.05</v>
      </c>
      <c r="F729" s="86">
        <v>147.75</v>
      </c>
      <c r="G729" s="61" t="s">
        <v>92</v>
      </c>
      <c r="H729" s="62">
        <v>90779</v>
      </c>
      <c r="I729" s="83">
        <f aca="true" t="shared" si="45" ref="I729:I735">TRUNC(D729*F729,4)</f>
        <v>0.2068</v>
      </c>
    </row>
    <row r="730" spans="1:9" s="11" customFormat="1" ht="28.5">
      <c r="A730" s="58">
        <v>2</v>
      </c>
      <c r="B730" s="59" t="s">
        <v>38</v>
      </c>
      <c r="C730" s="58" t="s">
        <v>79</v>
      </c>
      <c r="D730" s="70">
        <f>ROUND(D718*0.6,4)</f>
        <v>0.0278</v>
      </c>
      <c r="E730" s="60"/>
      <c r="F730" s="86">
        <v>108.39</v>
      </c>
      <c r="G730" s="61" t="s">
        <v>64</v>
      </c>
      <c r="H730" s="62">
        <v>90778</v>
      </c>
      <c r="I730" s="83">
        <f t="shared" si="45"/>
        <v>3.0132</v>
      </c>
    </row>
    <row r="731" spans="1:9" s="11" customFormat="1" ht="15">
      <c r="A731" s="58">
        <v>3</v>
      </c>
      <c r="B731" s="59" t="s">
        <v>48</v>
      </c>
      <c r="C731" s="58" t="s">
        <v>95</v>
      </c>
      <c r="D731" s="70">
        <v>0.0006</v>
      </c>
      <c r="E731" s="60"/>
      <c r="F731" s="86">
        <v>240.82</v>
      </c>
      <c r="G731" s="61" t="s">
        <v>77</v>
      </c>
      <c r="H731" s="62" t="s">
        <v>126</v>
      </c>
      <c r="I731" s="83">
        <f t="shared" si="45"/>
        <v>0.1444</v>
      </c>
    </row>
    <row r="732" spans="1:9" s="73" customFormat="1" ht="14.25">
      <c r="A732" s="58" t="s">
        <v>90</v>
      </c>
      <c r="B732" s="59" t="s">
        <v>80</v>
      </c>
      <c r="C732" s="69" t="s">
        <v>81</v>
      </c>
      <c r="D732" s="84">
        <f>ROUND((D730)/176,6)</f>
        <v>0.000158</v>
      </c>
      <c r="E732" s="60"/>
      <c r="F732" s="83">
        <f>TRUNC(171.37*(1+Orcamento!$E$106),4)</f>
        <v>190.4434</v>
      </c>
      <c r="G732" s="77" t="s">
        <v>82</v>
      </c>
      <c r="H732" s="72" t="s">
        <v>57</v>
      </c>
      <c r="I732" s="83">
        <f t="shared" si="45"/>
        <v>0.03</v>
      </c>
    </row>
    <row r="733" spans="1:9" s="73" customFormat="1" ht="14.25">
      <c r="A733" s="58" t="s">
        <v>91</v>
      </c>
      <c r="B733" s="74" t="s">
        <v>83</v>
      </c>
      <c r="C733" s="75" t="s">
        <v>84</v>
      </c>
      <c r="D733" s="85">
        <f>ROUND((D730)/(176*12),6)</f>
        <v>1.3E-05</v>
      </c>
      <c r="E733" s="76"/>
      <c r="F733" s="83">
        <f>TRUNC(6461.72*(1+Orcamento!$E$107),4)</f>
        <v>6736.9892</v>
      </c>
      <c r="G733" s="71" t="s">
        <v>85</v>
      </c>
      <c r="H733" s="72" t="s">
        <v>86</v>
      </c>
      <c r="I733" s="83">
        <f t="shared" si="45"/>
        <v>0.0875</v>
      </c>
    </row>
    <row r="734" spans="1:9" s="11" customFormat="1" ht="15">
      <c r="A734" s="58" t="s">
        <v>97</v>
      </c>
      <c r="B734" s="59" t="s">
        <v>36</v>
      </c>
      <c r="C734" s="58" t="s">
        <v>95</v>
      </c>
      <c r="D734" s="70">
        <f>ROUND(D730*1,4)</f>
        <v>0.0278</v>
      </c>
      <c r="E734" s="60"/>
      <c r="F734" s="86">
        <f>TRUNC(0.35*(1+Orcamento!$E$106),4)</f>
        <v>0.3889</v>
      </c>
      <c r="G734" s="68" t="s">
        <v>82</v>
      </c>
      <c r="H734" s="62" t="s">
        <v>89</v>
      </c>
      <c r="I734" s="83">
        <f t="shared" si="45"/>
        <v>0.0108</v>
      </c>
    </row>
    <row r="735" spans="1:9" s="11" customFormat="1" ht="15">
      <c r="A735" s="58" t="s">
        <v>98</v>
      </c>
      <c r="B735" s="59" t="s">
        <v>37</v>
      </c>
      <c r="C735" s="58" t="s">
        <v>95</v>
      </c>
      <c r="D735" s="70">
        <f>ROUND(D734*0.5,4)</f>
        <v>0.0139</v>
      </c>
      <c r="E735" s="60"/>
      <c r="F735" s="86">
        <f>TRUNC(5*(1+Orcamento!$E$106),4)</f>
        <v>5.5565</v>
      </c>
      <c r="G735" s="68" t="s">
        <v>82</v>
      </c>
      <c r="H735" s="62" t="s">
        <v>87</v>
      </c>
      <c r="I735" s="83">
        <f t="shared" si="45"/>
        <v>0.0772</v>
      </c>
    </row>
    <row r="736" s="11" customFormat="1" ht="15">
      <c r="B736" s="6"/>
    </row>
    <row r="737" spans="2:5" s="11" customFormat="1" ht="15">
      <c r="B737" s="6"/>
      <c r="C737" s="7"/>
      <c r="D737" s="7"/>
      <c r="E737" s="7"/>
    </row>
    <row r="738" spans="1:9" s="11" customFormat="1" ht="15">
      <c r="A738" s="46" t="s">
        <v>29</v>
      </c>
      <c r="B738" s="46" t="s">
        <v>30</v>
      </c>
      <c r="C738" s="47"/>
      <c r="D738" s="47"/>
      <c r="E738" s="47"/>
      <c r="F738" s="47"/>
      <c r="G738" s="48"/>
      <c r="H738" s="45" t="s">
        <v>70</v>
      </c>
      <c r="I738" s="45" t="s">
        <v>69</v>
      </c>
    </row>
    <row r="739" spans="1:9" s="11" customFormat="1" ht="15">
      <c r="A739" s="49" t="s">
        <v>305</v>
      </c>
      <c r="B739" s="120" t="s">
        <v>161</v>
      </c>
      <c r="C739" s="121"/>
      <c r="D739" s="121"/>
      <c r="E739" s="121"/>
      <c r="F739" s="121"/>
      <c r="G739" s="122"/>
      <c r="H739" s="123" t="s">
        <v>180</v>
      </c>
      <c r="I739" s="124">
        <f>TRUNC(SUM(I741:I747),2)</f>
        <v>4.32</v>
      </c>
    </row>
    <row r="740" spans="1:9" s="11" customFormat="1" ht="15.75" customHeight="1">
      <c r="A740" s="51" t="s">
        <v>1</v>
      </c>
      <c r="B740" s="52" t="s">
        <v>2</v>
      </c>
      <c r="C740" s="52" t="s">
        <v>31</v>
      </c>
      <c r="D740" s="53" t="s">
        <v>32</v>
      </c>
      <c r="E740" s="54" t="s">
        <v>33</v>
      </c>
      <c r="F740" s="55" t="s">
        <v>4</v>
      </c>
      <c r="G740" s="56" t="s">
        <v>33</v>
      </c>
      <c r="H740" s="57"/>
      <c r="I740" s="53" t="s">
        <v>71</v>
      </c>
    </row>
    <row r="741" spans="1:9" s="11" customFormat="1" ht="28.5">
      <c r="A741" s="58">
        <v>1</v>
      </c>
      <c r="B741" s="59" t="s">
        <v>125</v>
      </c>
      <c r="C741" s="58" t="s">
        <v>79</v>
      </c>
      <c r="D741" s="70">
        <f>ROUND((D742)*0.05,4)</f>
        <v>0.0017</v>
      </c>
      <c r="E741" s="97">
        <v>0.05</v>
      </c>
      <c r="F741" s="86">
        <v>147.75</v>
      </c>
      <c r="G741" s="61" t="s">
        <v>92</v>
      </c>
      <c r="H741" s="62">
        <v>90779</v>
      </c>
      <c r="I741" s="83">
        <f aca="true" t="shared" si="46" ref="I741:I747">TRUNC(D741*F741,4)</f>
        <v>0.2511</v>
      </c>
    </row>
    <row r="742" spans="1:9" s="11" customFormat="1" ht="28.5">
      <c r="A742" s="58">
        <v>2</v>
      </c>
      <c r="B742" s="59" t="s">
        <v>38</v>
      </c>
      <c r="C742" s="58" t="s">
        <v>79</v>
      </c>
      <c r="D742" s="70">
        <v>0.0339</v>
      </c>
      <c r="E742" s="60"/>
      <c r="F742" s="86">
        <v>108.39</v>
      </c>
      <c r="G742" s="61" t="s">
        <v>64</v>
      </c>
      <c r="H742" s="62">
        <v>90778</v>
      </c>
      <c r="I742" s="83">
        <f t="shared" si="46"/>
        <v>3.6744</v>
      </c>
    </row>
    <row r="743" spans="1:9" s="11" customFormat="1" ht="15">
      <c r="A743" s="58">
        <v>3</v>
      </c>
      <c r="B743" s="59" t="s">
        <v>48</v>
      </c>
      <c r="C743" s="58" t="s">
        <v>95</v>
      </c>
      <c r="D743" s="70">
        <v>0.0006</v>
      </c>
      <c r="E743" s="60"/>
      <c r="F743" s="86">
        <v>240.82</v>
      </c>
      <c r="G743" s="61" t="s">
        <v>77</v>
      </c>
      <c r="H743" s="62" t="s">
        <v>126</v>
      </c>
      <c r="I743" s="83">
        <f t="shared" si="46"/>
        <v>0.1444</v>
      </c>
    </row>
    <row r="744" spans="1:9" s="73" customFormat="1" ht="14.25">
      <c r="A744" s="58" t="s">
        <v>90</v>
      </c>
      <c r="B744" s="59" t="s">
        <v>80</v>
      </c>
      <c r="C744" s="69" t="s">
        <v>81</v>
      </c>
      <c r="D744" s="84">
        <f>ROUND((D742)/176,6)</f>
        <v>0.000193</v>
      </c>
      <c r="E744" s="60"/>
      <c r="F744" s="83">
        <f>TRUNC(171.37*(1+Orcamento!$E$106),4)</f>
        <v>190.4434</v>
      </c>
      <c r="G744" s="77" t="s">
        <v>82</v>
      </c>
      <c r="H744" s="72" t="s">
        <v>57</v>
      </c>
      <c r="I744" s="83">
        <f t="shared" si="46"/>
        <v>0.0367</v>
      </c>
    </row>
    <row r="745" spans="1:9" s="73" customFormat="1" ht="14.25">
      <c r="A745" s="58" t="s">
        <v>91</v>
      </c>
      <c r="B745" s="74" t="s">
        <v>83</v>
      </c>
      <c r="C745" s="75" t="s">
        <v>84</v>
      </c>
      <c r="D745" s="85">
        <f>ROUND((D742)/(176*12),6)</f>
        <v>1.6E-05</v>
      </c>
      <c r="E745" s="76"/>
      <c r="F745" s="83">
        <f>TRUNC(6461.72*(1+Orcamento!$E$107),4)</f>
        <v>6736.9892</v>
      </c>
      <c r="G745" s="71" t="s">
        <v>85</v>
      </c>
      <c r="H745" s="72" t="s">
        <v>86</v>
      </c>
      <c r="I745" s="83">
        <f t="shared" si="46"/>
        <v>0.1077</v>
      </c>
    </row>
    <row r="746" spans="1:9" s="11" customFormat="1" ht="15">
      <c r="A746" s="58" t="s">
        <v>97</v>
      </c>
      <c r="B746" s="59" t="s">
        <v>36</v>
      </c>
      <c r="C746" s="58" t="s">
        <v>95</v>
      </c>
      <c r="D746" s="70">
        <f>ROUND(D742*1,4)</f>
        <v>0.0339</v>
      </c>
      <c r="E746" s="60"/>
      <c r="F746" s="86">
        <f>TRUNC(0.35*(1+Orcamento!$E$106),4)</f>
        <v>0.3889</v>
      </c>
      <c r="G746" s="68" t="s">
        <v>82</v>
      </c>
      <c r="H746" s="62" t="s">
        <v>89</v>
      </c>
      <c r="I746" s="83">
        <f t="shared" si="46"/>
        <v>0.0131</v>
      </c>
    </row>
    <row r="747" spans="1:9" s="11" customFormat="1" ht="15">
      <c r="A747" s="58" t="s">
        <v>98</v>
      </c>
      <c r="B747" s="59" t="s">
        <v>37</v>
      </c>
      <c r="C747" s="58" t="s">
        <v>95</v>
      </c>
      <c r="D747" s="70">
        <f>ROUND(D746*0.5,4)</f>
        <v>0.017</v>
      </c>
      <c r="E747" s="60"/>
      <c r="F747" s="86">
        <f>TRUNC(5*(1+Orcamento!$E$106),4)</f>
        <v>5.5565</v>
      </c>
      <c r="G747" s="68" t="s">
        <v>82</v>
      </c>
      <c r="H747" s="62" t="s">
        <v>87</v>
      </c>
      <c r="I747" s="83">
        <f t="shared" si="46"/>
        <v>0.0944</v>
      </c>
    </row>
    <row r="748" s="11" customFormat="1" ht="15">
      <c r="B748" s="6"/>
    </row>
    <row r="749" spans="2:5" s="11" customFormat="1" ht="15">
      <c r="B749" s="6"/>
      <c r="C749" s="7"/>
      <c r="D749" s="7"/>
      <c r="E749" s="7"/>
    </row>
    <row r="750" spans="1:9" s="11" customFormat="1" ht="15">
      <c r="A750" s="46" t="s">
        <v>29</v>
      </c>
      <c r="B750" s="46" t="s">
        <v>30</v>
      </c>
      <c r="C750" s="47"/>
      <c r="D750" s="47"/>
      <c r="E750" s="47"/>
      <c r="F750" s="47"/>
      <c r="G750" s="48"/>
      <c r="H750" s="45" t="s">
        <v>70</v>
      </c>
      <c r="I750" s="45" t="s">
        <v>69</v>
      </c>
    </row>
    <row r="751" spans="1:9" s="11" customFormat="1" ht="15">
      <c r="A751" s="49" t="s">
        <v>250</v>
      </c>
      <c r="B751" s="120" t="s">
        <v>397</v>
      </c>
      <c r="C751" s="121"/>
      <c r="D751" s="121"/>
      <c r="E751" s="121"/>
      <c r="F751" s="121"/>
      <c r="G751" s="122"/>
      <c r="H751" s="123" t="s">
        <v>180</v>
      </c>
      <c r="I751" s="124">
        <f>TRUNC(SUM(I753:I759),2)</f>
        <v>2.64</v>
      </c>
    </row>
    <row r="752" spans="1:9" s="11" customFormat="1" ht="15.75" customHeight="1">
      <c r="A752" s="51" t="s">
        <v>1</v>
      </c>
      <c r="B752" s="52" t="s">
        <v>2</v>
      </c>
      <c r="C752" s="52" t="s">
        <v>31</v>
      </c>
      <c r="D752" s="53" t="s">
        <v>32</v>
      </c>
      <c r="E752" s="54" t="s">
        <v>33</v>
      </c>
      <c r="F752" s="55" t="s">
        <v>4</v>
      </c>
      <c r="G752" s="56" t="s">
        <v>33</v>
      </c>
      <c r="H752" s="57"/>
      <c r="I752" s="53" t="s">
        <v>71</v>
      </c>
    </row>
    <row r="753" spans="1:9" s="11" customFormat="1" ht="28.5">
      <c r="A753" s="58">
        <v>1</v>
      </c>
      <c r="B753" s="59" t="s">
        <v>125</v>
      </c>
      <c r="C753" s="58" t="s">
        <v>79</v>
      </c>
      <c r="D753" s="70">
        <f>ROUND((D754)*0.05,4)</f>
        <v>0.001</v>
      </c>
      <c r="E753" s="97">
        <v>0.05</v>
      </c>
      <c r="F753" s="86">
        <v>147.75</v>
      </c>
      <c r="G753" s="61" t="s">
        <v>92</v>
      </c>
      <c r="H753" s="62">
        <v>90779</v>
      </c>
      <c r="I753" s="83">
        <f aca="true" t="shared" si="47" ref="I753:I759">TRUNC(D753*F753,4)</f>
        <v>0.1477</v>
      </c>
    </row>
    <row r="754" spans="1:9" s="11" customFormat="1" ht="28.5">
      <c r="A754" s="58">
        <v>2</v>
      </c>
      <c r="B754" s="59" t="s">
        <v>38</v>
      </c>
      <c r="C754" s="58" t="s">
        <v>79</v>
      </c>
      <c r="D754" s="70">
        <f>ROUND(D742*0.6,4)</f>
        <v>0.0203</v>
      </c>
      <c r="E754" s="60"/>
      <c r="F754" s="86">
        <v>108.39</v>
      </c>
      <c r="G754" s="61" t="s">
        <v>64</v>
      </c>
      <c r="H754" s="62">
        <v>90778</v>
      </c>
      <c r="I754" s="83">
        <f t="shared" si="47"/>
        <v>2.2003</v>
      </c>
    </row>
    <row r="755" spans="1:9" s="11" customFormat="1" ht="15">
      <c r="A755" s="58">
        <v>3</v>
      </c>
      <c r="B755" s="59" t="s">
        <v>48</v>
      </c>
      <c r="C755" s="58" t="s">
        <v>95</v>
      </c>
      <c r="D755" s="70">
        <v>0.0006</v>
      </c>
      <c r="E755" s="60"/>
      <c r="F755" s="86">
        <v>240.82</v>
      </c>
      <c r="G755" s="61" t="s">
        <v>77</v>
      </c>
      <c r="H755" s="62" t="s">
        <v>126</v>
      </c>
      <c r="I755" s="83">
        <f t="shared" si="47"/>
        <v>0.1444</v>
      </c>
    </row>
    <row r="756" spans="1:9" s="73" customFormat="1" ht="14.25">
      <c r="A756" s="58" t="s">
        <v>90</v>
      </c>
      <c r="B756" s="59" t="s">
        <v>80</v>
      </c>
      <c r="C756" s="69" t="s">
        <v>81</v>
      </c>
      <c r="D756" s="84">
        <f>ROUND((D754)/176,6)</f>
        <v>0.000115</v>
      </c>
      <c r="E756" s="60"/>
      <c r="F756" s="83">
        <f>TRUNC(171.37*(1+Orcamento!$E$106),4)</f>
        <v>190.4434</v>
      </c>
      <c r="G756" s="77" t="s">
        <v>82</v>
      </c>
      <c r="H756" s="72" t="s">
        <v>57</v>
      </c>
      <c r="I756" s="83">
        <f t="shared" si="47"/>
        <v>0.0219</v>
      </c>
    </row>
    <row r="757" spans="1:9" s="73" customFormat="1" ht="14.25">
      <c r="A757" s="58" t="s">
        <v>91</v>
      </c>
      <c r="B757" s="74" t="s">
        <v>83</v>
      </c>
      <c r="C757" s="75" t="s">
        <v>84</v>
      </c>
      <c r="D757" s="85">
        <f>ROUND((D754)/(176*12),6)</f>
        <v>1E-05</v>
      </c>
      <c r="E757" s="76"/>
      <c r="F757" s="83">
        <f>TRUNC(6461.72*(1+Orcamento!$E$107),4)</f>
        <v>6736.9892</v>
      </c>
      <c r="G757" s="71" t="s">
        <v>85</v>
      </c>
      <c r="H757" s="72" t="s">
        <v>86</v>
      </c>
      <c r="I757" s="83">
        <f t="shared" si="47"/>
        <v>0.0673</v>
      </c>
    </row>
    <row r="758" spans="1:9" s="11" customFormat="1" ht="15">
      <c r="A758" s="58" t="s">
        <v>97</v>
      </c>
      <c r="B758" s="59" t="s">
        <v>36</v>
      </c>
      <c r="C758" s="58" t="s">
        <v>95</v>
      </c>
      <c r="D758" s="70">
        <f>ROUND(D754*1,4)</f>
        <v>0.0203</v>
      </c>
      <c r="E758" s="60"/>
      <c r="F758" s="86">
        <f>TRUNC(0.35*(1+Orcamento!$E$106),4)</f>
        <v>0.3889</v>
      </c>
      <c r="G758" s="68" t="s">
        <v>82</v>
      </c>
      <c r="H758" s="62" t="s">
        <v>89</v>
      </c>
      <c r="I758" s="83">
        <f t="shared" si="47"/>
        <v>0.0078</v>
      </c>
    </row>
    <row r="759" spans="1:9" s="11" customFormat="1" ht="15">
      <c r="A759" s="58" t="s">
        <v>98</v>
      </c>
      <c r="B759" s="59" t="s">
        <v>37</v>
      </c>
      <c r="C759" s="58" t="s">
        <v>95</v>
      </c>
      <c r="D759" s="70">
        <f>ROUND(D758*0.5,4)</f>
        <v>0.0102</v>
      </c>
      <c r="E759" s="60"/>
      <c r="F759" s="86">
        <f>TRUNC(5*(1+Orcamento!$E$106),4)</f>
        <v>5.5565</v>
      </c>
      <c r="G759" s="68" t="s">
        <v>82</v>
      </c>
      <c r="H759" s="62" t="s">
        <v>87</v>
      </c>
      <c r="I759" s="83">
        <f t="shared" si="47"/>
        <v>0.0566</v>
      </c>
    </row>
    <row r="760" s="11" customFormat="1" ht="15">
      <c r="B760" s="6"/>
    </row>
    <row r="761" spans="2:5" s="11" customFormat="1" ht="15">
      <c r="B761" s="6"/>
      <c r="C761" s="7"/>
      <c r="D761" s="7"/>
      <c r="E761" s="7"/>
    </row>
    <row r="762" spans="1:9" s="11" customFormat="1" ht="15">
      <c r="A762" s="46" t="s">
        <v>29</v>
      </c>
      <c r="B762" s="46" t="s">
        <v>30</v>
      </c>
      <c r="C762" s="47"/>
      <c r="D762" s="47"/>
      <c r="E762" s="47"/>
      <c r="F762" s="47"/>
      <c r="G762" s="48"/>
      <c r="H762" s="45" t="s">
        <v>70</v>
      </c>
      <c r="I762" s="45" t="s">
        <v>69</v>
      </c>
    </row>
    <row r="763" spans="1:9" s="11" customFormat="1" ht="15">
      <c r="A763" s="49" t="s">
        <v>306</v>
      </c>
      <c r="B763" s="120" t="s">
        <v>158</v>
      </c>
      <c r="C763" s="121"/>
      <c r="D763" s="121"/>
      <c r="E763" s="121"/>
      <c r="F763" s="121"/>
      <c r="G763" s="122"/>
      <c r="H763" s="123" t="s">
        <v>180</v>
      </c>
      <c r="I763" s="124">
        <f>TRUNC(SUM(I765:I771),2)</f>
        <v>3</v>
      </c>
    </row>
    <row r="764" spans="1:9" s="11" customFormat="1" ht="15.75" customHeight="1">
      <c r="A764" s="51" t="s">
        <v>1</v>
      </c>
      <c r="B764" s="52" t="s">
        <v>2</v>
      </c>
      <c r="C764" s="52" t="s">
        <v>31</v>
      </c>
      <c r="D764" s="53" t="s">
        <v>32</v>
      </c>
      <c r="E764" s="54" t="s">
        <v>33</v>
      </c>
      <c r="F764" s="55" t="s">
        <v>4</v>
      </c>
      <c r="G764" s="56" t="s">
        <v>33</v>
      </c>
      <c r="H764" s="57"/>
      <c r="I764" s="53" t="s">
        <v>71</v>
      </c>
    </row>
    <row r="765" spans="1:9" s="11" customFormat="1" ht="28.5">
      <c r="A765" s="58">
        <v>1</v>
      </c>
      <c r="B765" s="59" t="s">
        <v>125</v>
      </c>
      <c r="C765" s="58" t="s">
        <v>79</v>
      </c>
      <c r="D765" s="70">
        <f>ROUND((D766)*0.05,4)</f>
        <v>0.0012</v>
      </c>
      <c r="E765" s="97">
        <v>0.05</v>
      </c>
      <c r="F765" s="86">
        <v>147.75</v>
      </c>
      <c r="G765" s="61" t="s">
        <v>92</v>
      </c>
      <c r="H765" s="62">
        <v>90779</v>
      </c>
      <c r="I765" s="83">
        <f aca="true" t="shared" si="48" ref="I765:I771">TRUNC(D765*F765,4)</f>
        <v>0.1773</v>
      </c>
    </row>
    <row r="766" spans="1:9" s="11" customFormat="1" ht="28.5">
      <c r="A766" s="58">
        <v>2</v>
      </c>
      <c r="B766" s="59" t="s">
        <v>38</v>
      </c>
      <c r="C766" s="58" t="s">
        <v>79</v>
      </c>
      <c r="D766" s="70">
        <v>0.0232</v>
      </c>
      <c r="E766" s="60"/>
      <c r="F766" s="86">
        <v>108.39</v>
      </c>
      <c r="G766" s="61" t="s">
        <v>64</v>
      </c>
      <c r="H766" s="62">
        <v>90778</v>
      </c>
      <c r="I766" s="83">
        <f t="shared" si="48"/>
        <v>2.5146</v>
      </c>
    </row>
    <row r="767" spans="1:9" s="11" customFormat="1" ht="15">
      <c r="A767" s="58">
        <v>3</v>
      </c>
      <c r="B767" s="59" t="s">
        <v>48</v>
      </c>
      <c r="C767" s="58" t="s">
        <v>95</v>
      </c>
      <c r="D767" s="70">
        <v>0.0006</v>
      </c>
      <c r="E767" s="60"/>
      <c r="F767" s="86">
        <v>240.82</v>
      </c>
      <c r="G767" s="61" t="s">
        <v>77</v>
      </c>
      <c r="H767" s="62" t="s">
        <v>126</v>
      </c>
      <c r="I767" s="83">
        <f t="shared" si="48"/>
        <v>0.1444</v>
      </c>
    </row>
    <row r="768" spans="1:9" s="73" customFormat="1" ht="14.25">
      <c r="A768" s="58" t="s">
        <v>90</v>
      </c>
      <c r="B768" s="59" t="s">
        <v>80</v>
      </c>
      <c r="C768" s="69" t="s">
        <v>81</v>
      </c>
      <c r="D768" s="84">
        <f>ROUND((D766)/176,6)</f>
        <v>0.000132</v>
      </c>
      <c r="E768" s="60"/>
      <c r="F768" s="83">
        <f>TRUNC(171.37*(1+Orcamento!$E$106),4)</f>
        <v>190.4434</v>
      </c>
      <c r="G768" s="77" t="s">
        <v>82</v>
      </c>
      <c r="H768" s="72" t="s">
        <v>57</v>
      </c>
      <c r="I768" s="83">
        <f t="shared" si="48"/>
        <v>0.0251</v>
      </c>
    </row>
    <row r="769" spans="1:9" s="73" customFormat="1" ht="14.25">
      <c r="A769" s="58" t="s">
        <v>91</v>
      </c>
      <c r="B769" s="74" t="s">
        <v>83</v>
      </c>
      <c r="C769" s="75" t="s">
        <v>84</v>
      </c>
      <c r="D769" s="85">
        <f>ROUND((D766)/(176*12),6)</f>
        <v>1.1E-05</v>
      </c>
      <c r="E769" s="76"/>
      <c r="F769" s="83">
        <f>TRUNC(6461.72*(1+Orcamento!$E$107),4)</f>
        <v>6736.9892</v>
      </c>
      <c r="G769" s="71" t="s">
        <v>85</v>
      </c>
      <c r="H769" s="72" t="s">
        <v>86</v>
      </c>
      <c r="I769" s="83">
        <f t="shared" si="48"/>
        <v>0.0741</v>
      </c>
    </row>
    <row r="770" spans="1:9" s="11" customFormat="1" ht="15">
      <c r="A770" s="58" t="s">
        <v>97</v>
      </c>
      <c r="B770" s="59" t="s">
        <v>36</v>
      </c>
      <c r="C770" s="58" t="s">
        <v>95</v>
      </c>
      <c r="D770" s="70">
        <f>ROUND(D766*1,4)</f>
        <v>0.0232</v>
      </c>
      <c r="E770" s="60"/>
      <c r="F770" s="86">
        <f>TRUNC(0.35*(1+Orcamento!$E$106),4)</f>
        <v>0.3889</v>
      </c>
      <c r="G770" s="68" t="s">
        <v>82</v>
      </c>
      <c r="H770" s="62" t="s">
        <v>89</v>
      </c>
      <c r="I770" s="83">
        <f t="shared" si="48"/>
        <v>0.009</v>
      </c>
    </row>
    <row r="771" spans="1:9" s="11" customFormat="1" ht="15">
      <c r="A771" s="58" t="s">
        <v>98</v>
      </c>
      <c r="B771" s="59" t="s">
        <v>37</v>
      </c>
      <c r="C771" s="58" t="s">
        <v>95</v>
      </c>
      <c r="D771" s="70">
        <f>ROUND(D770*0.5,4)</f>
        <v>0.0116</v>
      </c>
      <c r="E771" s="60"/>
      <c r="F771" s="86">
        <f>TRUNC(5*(1+Orcamento!$E$106),4)</f>
        <v>5.5565</v>
      </c>
      <c r="G771" s="68" t="s">
        <v>82</v>
      </c>
      <c r="H771" s="62" t="s">
        <v>87</v>
      </c>
      <c r="I771" s="83">
        <f t="shared" si="48"/>
        <v>0.0644</v>
      </c>
    </row>
    <row r="772" s="11" customFormat="1" ht="15">
      <c r="B772" s="6"/>
    </row>
    <row r="773" spans="2:5" s="11" customFormat="1" ht="15">
      <c r="B773" s="6"/>
      <c r="C773" s="7"/>
      <c r="D773" s="7"/>
      <c r="E773" s="7"/>
    </row>
    <row r="774" spans="1:9" s="11" customFormat="1" ht="15">
      <c r="A774" s="46" t="s">
        <v>29</v>
      </c>
      <c r="B774" s="46" t="s">
        <v>30</v>
      </c>
      <c r="C774" s="47"/>
      <c r="D774" s="47"/>
      <c r="E774" s="47"/>
      <c r="F774" s="47"/>
      <c r="G774" s="48"/>
      <c r="H774" s="45" t="s">
        <v>70</v>
      </c>
      <c r="I774" s="45" t="s">
        <v>69</v>
      </c>
    </row>
    <row r="775" spans="1:9" s="11" customFormat="1" ht="15">
      <c r="A775" s="49" t="s">
        <v>251</v>
      </c>
      <c r="B775" s="120" t="s">
        <v>398</v>
      </c>
      <c r="C775" s="121"/>
      <c r="D775" s="121"/>
      <c r="E775" s="121"/>
      <c r="F775" s="121"/>
      <c r="G775" s="122"/>
      <c r="H775" s="123" t="s">
        <v>180</v>
      </c>
      <c r="I775" s="124">
        <f>TRUNC(SUM(I777:I783),2)</f>
        <v>1.86</v>
      </c>
    </row>
    <row r="776" spans="1:9" s="11" customFormat="1" ht="15.75" customHeight="1">
      <c r="A776" s="51" t="s">
        <v>1</v>
      </c>
      <c r="B776" s="52" t="s">
        <v>2</v>
      </c>
      <c r="C776" s="52" t="s">
        <v>31</v>
      </c>
      <c r="D776" s="53" t="s">
        <v>32</v>
      </c>
      <c r="E776" s="54" t="s">
        <v>33</v>
      </c>
      <c r="F776" s="55" t="s">
        <v>4</v>
      </c>
      <c r="G776" s="56" t="s">
        <v>33</v>
      </c>
      <c r="H776" s="57"/>
      <c r="I776" s="53" t="s">
        <v>71</v>
      </c>
    </row>
    <row r="777" spans="1:9" s="11" customFormat="1" ht="28.5">
      <c r="A777" s="58">
        <v>1</v>
      </c>
      <c r="B777" s="59" t="s">
        <v>125</v>
      </c>
      <c r="C777" s="58" t="s">
        <v>79</v>
      </c>
      <c r="D777" s="70">
        <f>ROUND((D778)*0.05,4)</f>
        <v>0.0007</v>
      </c>
      <c r="E777" s="97">
        <v>0.05</v>
      </c>
      <c r="F777" s="86">
        <v>147.75</v>
      </c>
      <c r="G777" s="61" t="s">
        <v>92</v>
      </c>
      <c r="H777" s="62">
        <v>90779</v>
      </c>
      <c r="I777" s="83">
        <f aca="true" t="shared" si="49" ref="I777:I783">TRUNC(D777*F777,4)</f>
        <v>0.1034</v>
      </c>
    </row>
    <row r="778" spans="1:9" s="11" customFormat="1" ht="28.5">
      <c r="A778" s="58">
        <v>2</v>
      </c>
      <c r="B778" s="59" t="s">
        <v>38</v>
      </c>
      <c r="C778" s="58" t="s">
        <v>79</v>
      </c>
      <c r="D778" s="70">
        <f>ROUND(D766*0.6,4)</f>
        <v>0.0139</v>
      </c>
      <c r="E778" s="60"/>
      <c r="F778" s="86">
        <v>108.39</v>
      </c>
      <c r="G778" s="61" t="s">
        <v>64</v>
      </c>
      <c r="H778" s="62">
        <v>90778</v>
      </c>
      <c r="I778" s="83">
        <f t="shared" si="49"/>
        <v>1.5066</v>
      </c>
    </row>
    <row r="779" spans="1:9" s="11" customFormat="1" ht="15">
      <c r="A779" s="58">
        <v>3</v>
      </c>
      <c r="B779" s="59" t="s">
        <v>48</v>
      </c>
      <c r="C779" s="58" t="s">
        <v>95</v>
      </c>
      <c r="D779" s="70">
        <v>0.0006</v>
      </c>
      <c r="E779" s="60"/>
      <c r="F779" s="86">
        <v>240.82</v>
      </c>
      <c r="G779" s="61" t="s">
        <v>77</v>
      </c>
      <c r="H779" s="62" t="s">
        <v>126</v>
      </c>
      <c r="I779" s="83">
        <f t="shared" si="49"/>
        <v>0.1444</v>
      </c>
    </row>
    <row r="780" spans="1:9" s="73" customFormat="1" ht="14.25">
      <c r="A780" s="58" t="s">
        <v>90</v>
      </c>
      <c r="B780" s="59" t="s">
        <v>80</v>
      </c>
      <c r="C780" s="69" t="s">
        <v>81</v>
      </c>
      <c r="D780" s="84">
        <f>ROUND((D778)/176,6)</f>
        <v>7.9E-05</v>
      </c>
      <c r="E780" s="60"/>
      <c r="F780" s="83">
        <f>TRUNC(171.37*(1+Orcamento!$E$106),4)</f>
        <v>190.4434</v>
      </c>
      <c r="G780" s="77" t="s">
        <v>82</v>
      </c>
      <c r="H780" s="72" t="s">
        <v>57</v>
      </c>
      <c r="I780" s="83">
        <f t="shared" si="49"/>
        <v>0.015</v>
      </c>
    </row>
    <row r="781" spans="1:9" s="73" customFormat="1" ht="14.25">
      <c r="A781" s="58" t="s">
        <v>91</v>
      </c>
      <c r="B781" s="74" t="s">
        <v>83</v>
      </c>
      <c r="C781" s="75" t="s">
        <v>84</v>
      </c>
      <c r="D781" s="85">
        <f>ROUND((D778)/(176*12),6)</f>
        <v>7E-06</v>
      </c>
      <c r="E781" s="76"/>
      <c r="F781" s="83">
        <f>TRUNC(6461.72*(1+Orcamento!$E$107),4)</f>
        <v>6736.9892</v>
      </c>
      <c r="G781" s="71" t="s">
        <v>85</v>
      </c>
      <c r="H781" s="72" t="s">
        <v>86</v>
      </c>
      <c r="I781" s="83">
        <f t="shared" si="49"/>
        <v>0.0471</v>
      </c>
    </row>
    <row r="782" spans="1:9" s="11" customFormat="1" ht="15">
      <c r="A782" s="58" t="s">
        <v>97</v>
      </c>
      <c r="B782" s="59" t="s">
        <v>36</v>
      </c>
      <c r="C782" s="58" t="s">
        <v>95</v>
      </c>
      <c r="D782" s="70">
        <f>ROUND(D778*1,4)</f>
        <v>0.0139</v>
      </c>
      <c r="E782" s="60"/>
      <c r="F782" s="86">
        <f>TRUNC(0.35*(1+Orcamento!$E$106),4)</f>
        <v>0.3889</v>
      </c>
      <c r="G782" s="68" t="s">
        <v>82</v>
      </c>
      <c r="H782" s="62" t="s">
        <v>89</v>
      </c>
      <c r="I782" s="83">
        <f t="shared" si="49"/>
        <v>0.0054</v>
      </c>
    </row>
    <row r="783" spans="1:9" s="11" customFormat="1" ht="15">
      <c r="A783" s="58" t="s">
        <v>98</v>
      </c>
      <c r="B783" s="59" t="s">
        <v>37</v>
      </c>
      <c r="C783" s="58" t="s">
        <v>95</v>
      </c>
      <c r="D783" s="70">
        <f>ROUND(D782*0.5,4)</f>
        <v>0.007</v>
      </c>
      <c r="E783" s="60"/>
      <c r="F783" s="86">
        <f>TRUNC(5*(1+Orcamento!$E$106),4)</f>
        <v>5.5565</v>
      </c>
      <c r="G783" s="68" t="s">
        <v>82</v>
      </c>
      <c r="H783" s="62" t="s">
        <v>87</v>
      </c>
      <c r="I783" s="83">
        <f t="shared" si="49"/>
        <v>0.0388</v>
      </c>
    </row>
    <row r="784" s="11" customFormat="1" ht="15">
      <c r="B784" s="6"/>
    </row>
    <row r="785" spans="2:5" s="11" customFormat="1" ht="15">
      <c r="B785" s="6"/>
      <c r="C785" s="7"/>
      <c r="D785" s="7"/>
      <c r="E785" s="7"/>
    </row>
    <row r="786" spans="1:9" s="11" customFormat="1" ht="15">
      <c r="A786" s="46" t="s">
        <v>29</v>
      </c>
      <c r="B786" s="46" t="s">
        <v>30</v>
      </c>
      <c r="C786" s="47"/>
      <c r="D786" s="47"/>
      <c r="E786" s="47"/>
      <c r="F786" s="47"/>
      <c r="G786" s="48"/>
      <c r="H786" s="45" t="s">
        <v>70</v>
      </c>
      <c r="I786" s="45" t="s">
        <v>69</v>
      </c>
    </row>
    <row r="787" spans="1:9" s="11" customFormat="1" ht="15">
      <c r="A787" s="49" t="s">
        <v>316</v>
      </c>
      <c r="B787" s="120" t="s">
        <v>53</v>
      </c>
      <c r="C787" s="121"/>
      <c r="D787" s="121"/>
      <c r="E787" s="121"/>
      <c r="F787" s="121"/>
      <c r="G787" s="122"/>
      <c r="H787" s="123" t="s">
        <v>180</v>
      </c>
      <c r="I787" s="124">
        <f>TRUNC(SUM(I789:I796),2)</f>
        <v>6.03</v>
      </c>
    </row>
    <row r="788" spans="1:9" s="11" customFormat="1" ht="15.75" customHeight="1">
      <c r="A788" s="51" t="s">
        <v>1</v>
      </c>
      <c r="B788" s="52" t="s">
        <v>2</v>
      </c>
      <c r="C788" s="52" t="s">
        <v>31</v>
      </c>
      <c r="D788" s="53" t="s">
        <v>32</v>
      </c>
      <c r="E788" s="54" t="s">
        <v>33</v>
      </c>
      <c r="F788" s="55" t="s">
        <v>4</v>
      </c>
      <c r="G788" s="56" t="s">
        <v>33</v>
      </c>
      <c r="H788" s="57"/>
      <c r="I788" s="53" t="s">
        <v>71</v>
      </c>
    </row>
    <row r="789" spans="1:9" s="11" customFormat="1" ht="28.5">
      <c r="A789" s="58">
        <v>1</v>
      </c>
      <c r="B789" s="59" t="s">
        <v>125</v>
      </c>
      <c r="C789" s="58" t="s">
        <v>79</v>
      </c>
      <c r="D789" s="70">
        <f>ROUND((D790)*0.05,4)</f>
        <v>0.0022</v>
      </c>
      <c r="E789" s="97">
        <v>0.05</v>
      </c>
      <c r="F789" s="86">
        <v>147.75</v>
      </c>
      <c r="G789" s="61" t="s">
        <v>92</v>
      </c>
      <c r="H789" s="62">
        <v>90779</v>
      </c>
      <c r="I789" s="83">
        <f aca="true" t="shared" si="50" ref="I789:I796">TRUNC(D789*F789,4)</f>
        <v>0.325</v>
      </c>
    </row>
    <row r="790" spans="1:9" s="11" customFormat="1" ht="28.5">
      <c r="A790" s="58">
        <v>2</v>
      </c>
      <c r="B790" s="59" t="s">
        <v>38</v>
      </c>
      <c r="C790" s="58" t="s">
        <v>79</v>
      </c>
      <c r="D790" s="70">
        <v>0.0437</v>
      </c>
      <c r="E790" s="60"/>
      <c r="F790" s="86">
        <v>108.39</v>
      </c>
      <c r="G790" s="61" t="s">
        <v>64</v>
      </c>
      <c r="H790" s="62">
        <v>90778</v>
      </c>
      <c r="I790" s="83">
        <f t="shared" si="50"/>
        <v>4.7366</v>
      </c>
    </row>
    <row r="791" spans="1:9" s="11" customFormat="1" ht="15">
      <c r="A791" s="58">
        <v>3</v>
      </c>
      <c r="B791" s="59" t="s">
        <v>48</v>
      </c>
      <c r="C791" s="58" t="s">
        <v>95</v>
      </c>
      <c r="D791" s="70">
        <v>0.0018</v>
      </c>
      <c r="E791" s="60"/>
      <c r="F791" s="86">
        <v>240.82</v>
      </c>
      <c r="G791" s="61" t="s">
        <v>77</v>
      </c>
      <c r="H791" s="62" t="s">
        <v>126</v>
      </c>
      <c r="I791" s="83">
        <f t="shared" si="50"/>
        <v>0.4334</v>
      </c>
    </row>
    <row r="792" spans="1:9" s="73" customFormat="1" ht="14.25">
      <c r="A792" s="58" t="s">
        <v>90</v>
      </c>
      <c r="B792" s="59" t="s">
        <v>80</v>
      </c>
      <c r="C792" s="69" t="s">
        <v>81</v>
      </c>
      <c r="D792" s="84">
        <f>ROUND((D790)/176,6)</f>
        <v>0.000248</v>
      </c>
      <c r="E792" s="60"/>
      <c r="F792" s="83">
        <f>TRUNC(171.37*(1+Orcamento!$E$106),4)</f>
        <v>190.4434</v>
      </c>
      <c r="G792" s="77" t="s">
        <v>82</v>
      </c>
      <c r="H792" s="72" t="s">
        <v>57</v>
      </c>
      <c r="I792" s="83">
        <f t="shared" si="50"/>
        <v>0.0472</v>
      </c>
    </row>
    <row r="793" spans="1:9" s="73" customFormat="1" ht="14.25">
      <c r="A793" s="58" t="s">
        <v>91</v>
      </c>
      <c r="B793" s="74" t="s">
        <v>83</v>
      </c>
      <c r="C793" s="75" t="s">
        <v>84</v>
      </c>
      <c r="D793" s="85">
        <f>ROUND((D790)/(176*12),6)</f>
        <v>2.1E-05</v>
      </c>
      <c r="E793" s="76"/>
      <c r="F793" s="83">
        <f>TRUNC(6461.72*(1+Orcamento!$E$107),4)</f>
        <v>6736.9892</v>
      </c>
      <c r="G793" s="71" t="s">
        <v>85</v>
      </c>
      <c r="H793" s="72" t="s">
        <v>86</v>
      </c>
      <c r="I793" s="83">
        <f t="shared" si="50"/>
        <v>0.1414</v>
      </c>
    </row>
    <row r="794" spans="1:9" s="11" customFormat="1" ht="15">
      <c r="A794" s="58" t="s">
        <v>97</v>
      </c>
      <c r="B794" s="59" t="s">
        <v>36</v>
      </c>
      <c r="C794" s="58" t="s">
        <v>95</v>
      </c>
      <c r="D794" s="70">
        <f>ROUND(D790*1,4)</f>
        <v>0.0437</v>
      </c>
      <c r="E794" s="60"/>
      <c r="F794" s="86">
        <f>TRUNC(0.35*(1+Orcamento!$E$106),4)</f>
        <v>0.3889</v>
      </c>
      <c r="G794" s="68" t="s">
        <v>82</v>
      </c>
      <c r="H794" s="62" t="s">
        <v>89</v>
      </c>
      <c r="I794" s="83">
        <f t="shared" si="50"/>
        <v>0.0169</v>
      </c>
    </row>
    <row r="795" spans="1:9" s="11" customFormat="1" ht="15">
      <c r="A795" s="58" t="s">
        <v>98</v>
      </c>
      <c r="B795" s="59" t="s">
        <v>43</v>
      </c>
      <c r="C795" s="58" t="s">
        <v>95</v>
      </c>
      <c r="D795" s="70">
        <f>ROUND(D794*0.5,4)</f>
        <v>0.0219</v>
      </c>
      <c r="E795" s="60"/>
      <c r="F795" s="86">
        <f>TRUNC(6*(1+Orcamento!$E$106),4)</f>
        <v>6.6678</v>
      </c>
      <c r="G795" s="68" t="s">
        <v>82</v>
      </c>
      <c r="H795" s="62" t="s">
        <v>88</v>
      </c>
      <c r="I795" s="83">
        <f t="shared" si="50"/>
        <v>0.146</v>
      </c>
    </row>
    <row r="796" spans="1:9" s="11" customFormat="1" ht="42.75">
      <c r="A796" s="58">
        <v>6</v>
      </c>
      <c r="B796" s="59" t="s">
        <v>40</v>
      </c>
      <c r="C796" s="58" t="s">
        <v>41</v>
      </c>
      <c r="D796" s="70">
        <f>ROUND(10/AVERAGE(Quantitativo!D10:D19),4)</f>
        <v>0.0089</v>
      </c>
      <c r="E796" s="60" t="s">
        <v>130</v>
      </c>
      <c r="F796" s="86">
        <v>21.1581</v>
      </c>
      <c r="G796" s="61" t="s">
        <v>42</v>
      </c>
      <c r="H796" s="62"/>
      <c r="I796" s="83">
        <f t="shared" si="50"/>
        <v>0.1883</v>
      </c>
    </row>
    <row r="797" ht="15">
      <c r="B797" s="6"/>
    </row>
    <row r="798" spans="2:5" s="11" customFormat="1" ht="15">
      <c r="B798" s="6"/>
      <c r="C798" s="7"/>
      <c r="D798" s="7"/>
      <c r="E798" s="7"/>
    </row>
    <row r="799" spans="1:9" s="11" customFormat="1" ht="15">
      <c r="A799" s="46" t="s">
        <v>29</v>
      </c>
      <c r="B799" s="46" t="s">
        <v>30</v>
      </c>
      <c r="C799" s="47"/>
      <c r="D799" s="47"/>
      <c r="E799" s="47"/>
      <c r="F799" s="47"/>
      <c r="G799" s="48"/>
      <c r="H799" s="45" t="s">
        <v>70</v>
      </c>
      <c r="I799" s="45" t="s">
        <v>69</v>
      </c>
    </row>
    <row r="800" spans="1:9" s="11" customFormat="1" ht="15">
      <c r="A800" s="49" t="s">
        <v>399</v>
      </c>
      <c r="B800" s="120" t="s">
        <v>328</v>
      </c>
      <c r="C800" s="121"/>
      <c r="D800" s="121"/>
      <c r="E800" s="121"/>
      <c r="F800" s="121"/>
      <c r="G800" s="122"/>
      <c r="H800" s="123" t="s">
        <v>10</v>
      </c>
      <c r="I800" s="124">
        <f>TRUNC(SUM(I802:I808),2)</f>
        <v>1845.44</v>
      </c>
    </row>
    <row r="801" spans="1:9" s="11" customFormat="1" ht="15.75" customHeight="1">
      <c r="A801" s="51" t="s">
        <v>1</v>
      </c>
      <c r="B801" s="52" t="s">
        <v>2</v>
      </c>
      <c r="C801" s="52" t="s">
        <v>31</v>
      </c>
      <c r="D801" s="53" t="s">
        <v>32</v>
      </c>
      <c r="E801" s="54" t="s">
        <v>33</v>
      </c>
      <c r="F801" s="55" t="s">
        <v>4</v>
      </c>
      <c r="G801" s="56" t="s">
        <v>33</v>
      </c>
      <c r="H801" s="57"/>
      <c r="I801" s="53" t="s">
        <v>71</v>
      </c>
    </row>
    <row r="802" spans="1:9" s="11" customFormat="1" ht="28.5">
      <c r="A802" s="58">
        <v>1</v>
      </c>
      <c r="B802" s="59" t="s">
        <v>125</v>
      </c>
      <c r="C802" s="58" t="s">
        <v>79</v>
      </c>
      <c r="D802" s="70">
        <f>ROUND((D803)*0.05,4)</f>
        <v>0.7</v>
      </c>
      <c r="E802" s="97">
        <v>0.05</v>
      </c>
      <c r="F802" s="86">
        <v>147.75</v>
      </c>
      <c r="G802" s="61" t="s">
        <v>92</v>
      </c>
      <c r="H802" s="62">
        <v>90779</v>
      </c>
      <c r="I802" s="83">
        <f aca="true" t="shared" si="51" ref="I802:I808">TRUNC(D802*F802,4)</f>
        <v>103.425</v>
      </c>
    </row>
    <row r="803" spans="1:9" s="11" customFormat="1" ht="28.5">
      <c r="A803" s="58">
        <v>2</v>
      </c>
      <c r="B803" s="59" t="s">
        <v>54</v>
      </c>
      <c r="C803" s="58" t="s">
        <v>79</v>
      </c>
      <c r="D803" s="70">
        <v>14</v>
      </c>
      <c r="E803" s="60"/>
      <c r="F803" s="86">
        <v>108.39</v>
      </c>
      <c r="G803" s="61" t="s">
        <v>64</v>
      </c>
      <c r="H803" s="62">
        <v>90778</v>
      </c>
      <c r="I803" s="83">
        <f t="shared" si="51"/>
        <v>1517.46</v>
      </c>
    </row>
    <row r="804" spans="1:9" s="11" customFormat="1" ht="15">
      <c r="A804" s="58">
        <v>3</v>
      </c>
      <c r="B804" s="59" t="s">
        <v>48</v>
      </c>
      <c r="C804" s="58" t="s">
        <v>95</v>
      </c>
      <c r="D804" s="70">
        <v>0.5</v>
      </c>
      <c r="E804" s="60"/>
      <c r="F804" s="86">
        <v>240.82</v>
      </c>
      <c r="G804" s="61" t="s">
        <v>77</v>
      </c>
      <c r="H804" s="62" t="s">
        <v>126</v>
      </c>
      <c r="I804" s="83">
        <f t="shared" si="51"/>
        <v>120.41</v>
      </c>
    </row>
    <row r="805" spans="1:9" s="73" customFormat="1" ht="14.25">
      <c r="A805" s="58" t="s">
        <v>90</v>
      </c>
      <c r="B805" s="59" t="s">
        <v>80</v>
      </c>
      <c r="C805" s="69" t="s">
        <v>81</v>
      </c>
      <c r="D805" s="84">
        <f>ROUND((D803)/176,6)</f>
        <v>0.079545</v>
      </c>
      <c r="E805" s="60"/>
      <c r="F805" s="83">
        <f>TRUNC(171.37*(1+Orcamento!$E$106),4)</f>
        <v>190.4434</v>
      </c>
      <c r="G805" s="77" t="s">
        <v>82</v>
      </c>
      <c r="H805" s="72" t="s">
        <v>57</v>
      </c>
      <c r="I805" s="83">
        <f t="shared" si="51"/>
        <v>15.1488</v>
      </c>
    </row>
    <row r="806" spans="1:9" s="73" customFormat="1" ht="14.25">
      <c r="A806" s="58" t="s">
        <v>91</v>
      </c>
      <c r="B806" s="74" t="s">
        <v>83</v>
      </c>
      <c r="C806" s="75" t="s">
        <v>84</v>
      </c>
      <c r="D806" s="85">
        <f>ROUND((D803)/(176*12),6)</f>
        <v>0.006629</v>
      </c>
      <c r="E806" s="76"/>
      <c r="F806" s="83">
        <f>TRUNC(6461.72*(1+Orcamento!$E$107),4)</f>
        <v>6736.9892</v>
      </c>
      <c r="G806" s="71" t="s">
        <v>85</v>
      </c>
      <c r="H806" s="72" t="s">
        <v>86</v>
      </c>
      <c r="I806" s="83">
        <f t="shared" si="51"/>
        <v>44.6595</v>
      </c>
    </row>
    <row r="807" spans="1:9" s="11" customFormat="1" ht="15">
      <c r="A807" s="58" t="s">
        <v>97</v>
      </c>
      <c r="B807" s="59" t="s">
        <v>36</v>
      </c>
      <c r="C807" s="58" t="s">
        <v>95</v>
      </c>
      <c r="D807" s="70">
        <f>ROUND(D803*1,4)</f>
        <v>14</v>
      </c>
      <c r="E807" s="60"/>
      <c r="F807" s="86">
        <f>TRUNC(0.35*(1+Orcamento!$E$106),4)</f>
        <v>0.3889</v>
      </c>
      <c r="G807" s="68" t="s">
        <v>82</v>
      </c>
      <c r="H807" s="62" t="s">
        <v>89</v>
      </c>
      <c r="I807" s="83">
        <f t="shared" si="51"/>
        <v>5.4446</v>
      </c>
    </row>
    <row r="808" spans="1:9" s="11" customFormat="1" ht="15">
      <c r="A808" s="58" t="s">
        <v>98</v>
      </c>
      <c r="B808" s="59" t="s">
        <v>37</v>
      </c>
      <c r="C808" s="58" t="s">
        <v>95</v>
      </c>
      <c r="D808" s="70">
        <f>ROUND(D807*0.5,4)</f>
        <v>7</v>
      </c>
      <c r="E808" s="60"/>
      <c r="F808" s="86">
        <f>TRUNC(5*(1+Orcamento!$E$106),4)</f>
        <v>5.5565</v>
      </c>
      <c r="G808" s="68" t="s">
        <v>82</v>
      </c>
      <c r="H808" s="62" t="s">
        <v>87</v>
      </c>
      <c r="I808" s="83">
        <f t="shared" si="51"/>
        <v>38.8955</v>
      </c>
    </row>
    <row r="809" spans="2:5" s="11" customFormat="1" ht="15">
      <c r="B809" s="6"/>
      <c r="C809" s="7"/>
      <c r="D809" s="7"/>
      <c r="E809" s="7"/>
    </row>
    <row r="810" s="11" customFormat="1" ht="15">
      <c r="B810" s="6"/>
    </row>
    <row r="811" spans="1:9" s="11" customFormat="1" ht="15">
      <c r="A811" s="46" t="s">
        <v>29</v>
      </c>
      <c r="B811" s="46" t="s">
        <v>30</v>
      </c>
      <c r="C811" s="47"/>
      <c r="D811" s="47"/>
      <c r="E811" s="47"/>
      <c r="F811" s="47"/>
      <c r="G811" s="48"/>
      <c r="H811" s="45" t="s">
        <v>70</v>
      </c>
      <c r="I811" s="45" t="s">
        <v>69</v>
      </c>
    </row>
    <row r="812" spans="1:9" s="11" customFormat="1" ht="15">
      <c r="A812" s="49" t="s">
        <v>400</v>
      </c>
      <c r="B812" s="120" t="s">
        <v>117</v>
      </c>
      <c r="C812" s="121"/>
      <c r="D812" s="121"/>
      <c r="E812" s="121"/>
      <c r="F812" s="121"/>
      <c r="G812" s="122"/>
      <c r="H812" s="123" t="s">
        <v>180</v>
      </c>
      <c r="I812" s="124">
        <f>TRUNC(SUM(I814:I820),2)</f>
        <v>4.13</v>
      </c>
    </row>
    <row r="813" spans="1:9" s="11" customFormat="1" ht="15.75" customHeight="1">
      <c r="A813" s="51" t="s">
        <v>1</v>
      </c>
      <c r="B813" s="52" t="s">
        <v>2</v>
      </c>
      <c r="C813" s="52" t="s">
        <v>31</v>
      </c>
      <c r="D813" s="53" t="s">
        <v>32</v>
      </c>
      <c r="E813" s="54" t="s">
        <v>33</v>
      </c>
      <c r="F813" s="55" t="s">
        <v>4</v>
      </c>
      <c r="G813" s="56" t="s">
        <v>33</v>
      </c>
      <c r="H813" s="57"/>
      <c r="I813" s="53" t="s">
        <v>71</v>
      </c>
    </row>
    <row r="814" spans="1:9" s="11" customFormat="1" ht="28.5">
      <c r="A814" s="58">
        <v>1</v>
      </c>
      <c r="B814" s="59" t="s">
        <v>125</v>
      </c>
      <c r="C814" s="58" t="s">
        <v>79</v>
      </c>
      <c r="D814" s="70">
        <f>ROUND((D815)*0.05,4)</f>
        <v>0.0016</v>
      </c>
      <c r="E814" s="97">
        <v>0.05</v>
      </c>
      <c r="F814" s="86">
        <v>147.75</v>
      </c>
      <c r="G814" s="61" t="s">
        <v>92</v>
      </c>
      <c r="H814" s="62">
        <v>90779</v>
      </c>
      <c r="I814" s="83">
        <f aca="true" t="shared" si="52" ref="I814:I820">TRUNC(D814*F814,4)</f>
        <v>0.2364</v>
      </c>
    </row>
    <row r="815" spans="1:9" s="11" customFormat="1" ht="28.5">
      <c r="A815" s="58">
        <v>2</v>
      </c>
      <c r="B815" s="59" t="s">
        <v>54</v>
      </c>
      <c r="C815" s="58" t="s">
        <v>79</v>
      </c>
      <c r="D815" s="70">
        <v>0.032400000000000005</v>
      </c>
      <c r="E815" s="60"/>
      <c r="F815" s="86">
        <v>108.39</v>
      </c>
      <c r="G815" s="61" t="s">
        <v>64</v>
      </c>
      <c r="H815" s="62">
        <v>90778</v>
      </c>
      <c r="I815" s="83">
        <f t="shared" si="52"/>
        <v>3.5118</v>
      </c>
    </row>
    <row r="816" spans="1:9" s="11" customFormat="1" ht="15">
      <c r="A816" s="58">
        <v>3</v>
      </c>
      <c r="B816" s="59" t="s">
        <v>48</v>
      </c>
      <c r="C816" s="58" t="s">
        <v>95</v>
      </c>
      <c r="D816" s="70">
        <v>0.0006</v>
      </c>
      <c r="E816" s="60"/>
      <c r="F816" s="86">
        <v>240.82</v>
      </c>
      <c r="G816" s="61" t="s">
        <v>77</v>
      </c>
      <c r="H816" s="62" t="s">
        <v>126</v>
      </c>
      <c r="I816" s="83">
        <f t="shared" si="52"/>
        <v>0.1444</v>
      </c>
    </row>
    <row r="817" spans="1:9" s="73" customFormat="1" ht="14.25">
      <c r="A817" s="58" t="s">
        <v>90</v>
      </c>
      <c r="B817" s="59" t="s">
        <v>80</v>
      </c>
      <c r="C817" s="69" t="s">
        <v>81</v>
      </c>
      <c r="D817" s="84">
        <f>ROUND((D815)/176,6)</f>
        <v>0.000184</v>
      </c>
      <c r="E817" s="60"/>
      <c r="F817" s="83">
        <f>TRUNC(171.37*(1+Orcamento!$E$106),4)</f>
        <v>190.4434</v>
      </c>
      <c r="G817" s="77" t="s">
        <v>82</v>
      </c>
      <c r="H817" s="72" t="s">
        <v>57</v>
      </c>
      <c r="I817" s="83">
        <f t="shared" si="52"/>
        <v>0.035</v>
      </c>
    </row>
    <row r="818" spans="1:9" s="73" customFormat="1" ht="14.25">
      <c r="A818" s="58" t="s">
        <v>91</v>
      </c>
      <c r="B818" s="74" t="s">
        <v>83</v>
      </c>
      <c r="C818" s="75" t="s">
        <v>84</v>
      </c>
      <c r="D818" s="85">
        <f>ROUND((D815)/(176*12),6)</f>
        <v>1.5E-05</v>
      </c>
      <c r="E818" s="76"/>
      <c r="F818" s="83">
        <f>TRUNC(6461.72*(1+Orcamento!$E$107),4)</f>
        <v>6736.9892</v>
      </c>
      <c r="G818" s="71" t="s">
        <v>85</v>
      </c>
      <c r="H818" s="72" t="s">
        <v>86</v>
      </c>
      <c r="I818" s="83">
        <f t="shared" si="52"/>
        <v>0.101</v>
      </c>
    </row>
    <row r="819" spans="1:9" s="11" customFormat="1" ht="15">
      <c r="A819" s="58" t="s">
        <v>97</v>
      </c>
      <c r="B819" s="59" t="s">
        <v>36</v>
      </c>
      <c r="C819" s="58" t="s">
        <v>95</v>
      </c>
      <c r="D819" s="70">
        <f>ROUND(D815*1,4)</f>
        <v>0.0324</v>
      </c>
      <c r="E819" s="60"/>
      <c r="F819" s="86">
        <f>TRUNC(0.35*(1+Orcamento!$E$106),4)</f>
        <v>0.3889</v>
      </c>
      <c r="G819" s="68" t="s">
        <v>82</v>
      </c>
      <c r="H819" s="62" t="s">
        <v>89</v>
      </c>
      <c r="I819" s="83">
        <f t="shared" si="52"/>
        <v>0.0126</v>
      </c>
    </row>
    <row r="820" spans="1:9" s="11" customFormat="1" ht="15">
      <c r="A820" s="58" t="s">
        <v>98</v>
      </c>
      <c r="B820" s="59" t="s">
        <v>37</v>
      </c>
      <c r="C820" s="58" t="s">
        <v>95</v>
      </c>
      <c r="D820" s="70">
        <f>ROUND(D819*0.5,4)</f>
        <v>0.0162</v>
      </c>
      <c r="E820" s="60"/>
      <c r="F820" s="86">
        <f>TRUNC(5*(1+Orcamento!$E$106),4)</f>
        <v>5.5565</v>
      </c>
      <c r="G820" s="68" t="s">
        <v>82</v>
      </c>
      <c r="H820" s="62" t="s">
        <v>87</v>
      </c>
      <c r="I820" s="83">
        <f t="shared" si="52"/>
        <v>0.09</v>
      </c>
    </row>
    <row r="821" s="11" customFormat="1" ht="15">
      <c r="B821" s="6"/>
    </row>
    <row r="822" spans="2:5" s="11" customFormat="1" ht="15">
      <c r="B822" s="6"/>
      <c r="C822" s="7"/>
      <c r="D822" s="7"/>
      <c r="E822" s="7"/>
    </row>
    <row r="823" spans="1:9" s="11" customFormat="1" ht="15">
      <c r="A823" s="46" t="s">
        <v>29</v>
      </c>
      <c r="B823" s="46" t="s">
        <v>30</v>
      </c>
      <c r="C823" s="47"/>
      <c r="D823" s="47"/>
      <c r="E823" s="47"/>
      <c r="F823" s="47"/>
      <c r="G823" s="48"/>
      <c r="H823" s="45" t="s">
        <v>70</v>
      </c>
      <c r="I823" s="45" t="s">
        <v>69</v>
      </c>
    </row>
    <row r="824" spans="1:9" s="11" customFormat="1" ht="15">
      <c r="A824" s="49" t="s">
        <v>317</v>
      </c>
      <c r="B824" s="120" t="s">
        <v>160</v>
      </c>
      <c r="C824" s="121"/>
      <c r="D824" s="121"/>
      <c r="E824" s="121"/>
      <c r="F824" s="121"/>
      <c r="G824" s="122"/>
      <c r="H824" s="123" t="s">
        <v>10</v>
      </c>
      <c r="I824" s="124">
        <f>TRUNC(SUM(I826:I832),2)</f>
        <v>1478.74</v>
      </c>
    </row>
    <row r="825" spans="1:9" s="11" customFormat="1" ht="15.75" customHeight="1">
      <c r="A825" s="51" t="s">
        <v>1</v>
      </c>
      <c r="B825" s="52" t="s">
        <v>2</v>
      </c>
      <c r="C825" s="52" t="s">
        <v>31</v>
      </c>
      <c r="D825" s="53" t="s">
        <v>32</v>
      </c>
      <c r="E825" s="54" t="s">
        <v>33</v>
      </c>
      <c r="F825" s="55" t="s">
        <v>4</v>
      </c>
      <c r="G825" s="56" t="s">
        <v>33</v>
      </c>
      <c r="H825" s="57"/>
      <c r="I825" s="53" t="s">
        <v>71</v>
      </c>
    </row>
    <row r="826" spans="1:9" s="11" customFormat="1" ht="28.5">
      <c r="A826" s="58">
        <v>1</v>
      </c>
      <c r="B826" s="59" t="s">
        <v>125</v>
      </c>
      <c r="C826" s="58" t="s">
        <v>79</v>
      </c>
      <c r="D826" s="70">
        <f>ROUND((D827)*0.05,4)</f>
        <v>0.6</v>
      </c>
      <c r="E826" s="97">
        <v>0.05</v>
      </c>
      <c r="F826" s="86">
        <v>147.75</v>
      </c>
      <c r="G826" s="61" t="s">
        <v>92</v>
      </c>
      <c r="H826" s="62">
        <v>90779</v>
      </c>
      <c r="I826" s="83">
        <f aca="true" t="shared" si="53" ref="I826:I832">TRUNC(D826*F826,4)</f>
        <v>88.65</v>
      </c>
    </row>
    <row r="827" spans="1:9" s="11" customFormat="1" ht="28.5">
      <c r="A827" s="58">
        <v>2</v>
      </c>
      <c r="B827" s="59" t="s">
        <v>54</v>
      </c>
      <c r="C827" s="58" t="s">
        <v>79</v>
      </c>
      <c r="D827" s="70">
        <v>12</v>
      </c>
      <c r="E827" s="60"/>
      <c r="F827" s="86">
        <v>108.39</v>
      </c>
      <c r="G827" s="61" t="s">
        <v>64</v>
      </c>
      <c r="H827" s="62">
        <v>90778</v>
      </c>
      <c r="I827" s="83">
        <f t="shared" si="53"/>
        <v>1300.68</v>
      </c>
    </row>
    <row r="828" spans="1:9" s="11" customFormat="1" ht="15">
      <c r="A828" s="58">
        <v>3</v>
      </c>
      <c r="B828" s="59" t="s">
        <v>48</v>
      </c>
      <c r="C828" s="58" t="s">
        <v>95</v>
      </c>
      <c r="D828" s="70">
        <v>0.0006</v>
      </c>
      <c r="E828" s="60"/>
      <c r="F828" s="86">
        <v>240.82</v>
      </c>
      <c r="G828" s="61" t="s">
        <v>77</v>
      </c>
      <c r="H828" s="62" t="s">
        <v>126</v>
      </c>
      <c r="I828" s="83">
        <f t="shared" si="53"/>
        <v>0.1444</v>
      </c>
    </row>
    <row r="829" spans="1:9" s="73" customFormat="1" ht="14.25">
      <c r="A829" s="58" t="s">
        <v>90</v>
      </c>
      <c r="B829" s="59" t="s">
        <v>80</v>
      </c>
      <c r="C829" s="69" t="s">
        <v>81</v>
      </c>
      <c r="D829" s="84">
        <f>ROUND((D827)/176,6)</f>
        <v>0.068182</v>
      </c>
      <c r="E829" s="60"/>
      <c r="F829" s="83">
        <f>TRUNC(171.37*(1+Orcamento!$E$106),4)</f>
        <v>190.4434</v>
      </c>
      <c r="G829" s="77" t="s">
        <v>82</v>
      </c>
      <c r="H829" s="72" t="s">
        <v>57</v>
      </c>
      <c r="I829" s="83">
        <f t="shared" si="53"/>
        <v>12.9848</v>
      </c>
    </row>
    <row r="830" spans="1:9" s="73" customFormat="1" ht="14.25">
      <c r="A830" s="58" t="s">
        <v>91</v>
      </c>
      <c r="B830" s="74" t="s">
        <v>83</v>
      </c>
      <c r="C830" s="75" t="s">
        <v>84</v>
      </c>
      <c r="D830" s="85">
        <f>ROUND((D827)/(176*12),6)</f>
        <v>0.005682</v>
      </c>
      <c r="E830" s="76"/>
      <c r="F830" s="83">
        <f>TRUNC(6461.72*(1+Orcamento!$E$107),4)</f>
        <v>6736.9892</v>
      </c>
      <c r="G830" s="71" t="s">
        <v>85</v>
      </c>
      <c r="H830" s="72" t="s">
        <v>86</v>
      </c>
      <c r="I830" s="83">
        <f t="shared" si="53"/>
        <v>38.2795</v>
      </c>
    </row>
    <row r="831" spans="1:9" s="11" customFormat="1" ht="15">
      <c r="A831" s="58" t="s">
        <v>97</v>
      </c>
      <c r="B831" s="59" t="s">
        <v>36</v>
      </c>
      <c r="C831" s="58" t="s">
        <v>95</v>
      </c>
      <c r="D831" s="70">
        <f>ROUND(D827*1,4)</f>
        <v>12</v>
      </c>
      <c r="E831" s="60"/>
      <c r="F831" s="86">
        <f>TRUNC(0.35*(1+Orcamento!$E$106),4)</f>
        <v>0.3889</v>
      </c>
      <c r="G831" s="68" t="s">
        <v>82</v>
      </c>
      <c r="H831" s="62" t="s">
        <v>89</v>
      </c>
      <c r="I831" s="83">
        <f t="shared" si="53"/>
        <v>4.6668</v>
      </c>
    </row>
    <row r="832" spans="1:9" s="11" customFormat="1" ht="15">
      <c r="A832" s="58" t="s">
        <v>98</v>
      </c>
      <c r="B832" s="59" t="s">
        <v>37</v>
      </c>
      <c r="C832" s="58" t="s">
        <v>95</v>
      </c>
      <c r="D832" s="70">
        <f>ROUND(D831*0.5,4)</f>
        <v>6</v>
      </c>
      <c r="E832" s="60"/>
      <c r="F832" s="86">
        <f>TRUNC(5*(1+Orcamento!$E$106),4)</f>
        <v>5.5565</v>
      </c>
      <c r="G832" s="68" t="s">
        <v>82</v>
      </c>
      <c r="H832" s="62" t="s">
        <v>87</v>
      </c>
      <c r="I832" s="83">
        <f t="shared" si="53"/>
        <v>33.339</v>
      </c>
    </row>
    <row r="833" s="11" customFormat="1" ht="15">
      <c r="B833" s="6"/>
    </row>
    <row r="834" spans="2:5" s="11" customFormat="1" ht="15">
      <c r="B834" s="6"/>
      <c r="C834" s="7"/>
      <c r="D834" s="7"/>
      <c r="E834" s="7"/>
    </row>
    <row r="835" spans="1:9" s="11" customFormat="1" ht="15">
      <c r="A835" s="46" t="s">
        <v>29</v>
      </c>
      <c r="B835" s="46" t="s">
        <v>30</v>
      </c>
      <c r="C835" s="47"/>
      <c r="D835" s="47"/>
      <c r="E835" s="47"/>
      <c r="F835" s="47"/>
      <c r="G835" s="48"/>
      <c r="H835" s="45" t="s">
        <v>70</v>
      </c>
      <c r="I835" s="45" t="s">
        <v>69</v>
      </c>
    </row>
    <row r="836" spans="1:9" s="11" customFormat="1" ht="15">
      <c r="A836" s="49" t="s">
        <v>315</v>
      </c>
      <c r="B836" s="120" t="s">
        <v>327</v>
      </c>
      <c r="C836" s="121"/>
      <c r="D836" s="121"/>
      <c r="E836" s="121"/>
      <c r="F836" s="121"/>
      <c r="G836" s="122"/>
      <c r="H836" s="123" t="s">
        <v>180</v>
      </c>
      <c r="I836" s="124">
        <f>TRUNC(SUM(I838:I843),2)</f>
        <v>3.67</v>
      </c>
    </row>
    <row r="837" spans="1:9" s="11" customFormat="1" ht="15.75" customHeight="1">
      <c r="A837" s="51" t="s">
        <v>1</v>
      </c>
      <c r="B837" s="52" t="s">
        <v>2</v>
      </c>
      <c r="C837" s="52" t="s">
        <v>31</v>
      </c>
      <c r="D837" s="53" t="s">
        <v>32</v>
      </c>
      <c r="E837" s="54" t="s">
        <v>33</v>
      </c>
      <c r="F837" s="55" t="s">
        <v>4</v>
      </c>
      <c r="G837" s="56" t="s">
        <v>33</v>
      </c>
      <c r="H837" s="57"/>
      <c r="I837" s="53" t="s">
        <v>71</v>
      </c>
    </row>
    <row r="838" spans="1:9" s="11" customFormat="1" ht="28.5">
      <c r="A838" s="58">
        <v>1</v>
      </c>
      <c r="B838" s="59" t="s">
        <v>125</v>
      </c>
      <c r="C838" s="58" t="s">
        <v>79</v>
      </c>
      <c r="D838" s="70">
        <f>ROUND((D839)*0.05,4)</f>
        <v>0.0014</v>
      </c>
      <c r="E838" s="97">
        <v>0.05</v>
      </c>
      <c r="F838" s="86">
        <v>147.75</v>
      </c>
      <c r="G838" s="61" t="s">
        <v>92</v>
      </c>
      <c r="H838" s="62">
        <v>90779</v>
      </c>
      <c r="I838" s="83">
        <f aca="true" t="shared" si="54" ref="I838:I843">TRUNC(D838*F838,4)</f>
        <v>0.2068</v>
      </c>
    </row>
    <row r="839" spans="1:9" s="11" customFormat="1" ht="28.5">
      <c r="A839" s="58">
        <v>2</v>
      </c>
      <c r="B839" s="59" t="s">
        <v>38</v>
      </c>
      <c r="C839" s="58" t="s">
        <v>79</v>
      </c>
      <c r="D839" s="70">
        <v>0.0285</v>
      </c>
      <c r="E839" s="60"/>
      <c r="F839" s="86">
        <v>108.39</v>
      </c>
      <c r="G839" s="61" t="s">
        <v>64</v>
      </c>
      <c r="H839" s="62">
        <v>90778</v>
      </c>
      <c r="I839" s="83">
        <f t="shared" si="54"/>
        <v>3.0891</v>
      </c>
    </row>
    <row r="840" spans="1:9" s="11" customFormat="1" ht="15">
      <c r="A840" s="58">
        <v>3</v>
      </c>
      <c r="B840" s="59" t="s">
        <v>48</v>
      </c>
      <c r="C840" s="58" t="s">
        <v>95</v>
      </c>
      <c r="D840" s="70">
        <v>0.001</v>
      </c>
      <c r="E840" s="60"/>
      <c r="F840" s="86">
        <v>240.82</v>
      </c>
      <c r="G840" s="61" t="s">
        <v>77</v>
      </c>
      <c r="H840" s="62" t="s">
        <v>126</v>
      </c>
      <c r="I840" s="83">
        <f t="shared" si="54"/>
        <v>0.2408</v>
      </c>
    </row>
    <row r="841" spans="1:9" s="73" customFormat="1" ht="14.25">
      <c r="A841" s="58">
        <v>4</v>
      </c>
      <c r="B841" s="59" t="s">
        <v>80</v>
      </c>
      <c r="C841" s="69" t="s">
        <v>81</v>
      </c>
      <c r="D841" s="84">
        <f>ROUND((D839)/176,6)</f>
        <v>0.000162</v>
      </c>
      <c r="E841" s="60"/>
      <c r="F841" s="83">
        <f>TRUNC(171.37*(1+Orcamento!$E$106),4)</f>
        <v>190.4434</v>
      </c>
      <c r="G841" s="77" t="s">
        <v>82</v>
      </c>
      <c r="H841" s="72" t="s">
        <v>57</v>
      </c>
      <c r="I841" s="83">
        <f t="shared" si="54"/>
        <v>0.0308</v>
      </c>
    </row>
    <row r="842" spans="1:9" s="11" customFormat="1" ht="15">
      <c r="A842" s="58" t="s">
        <v>97</v>
      </c>
      <c r="B842" s="59" t="s">
        <v>36</v>
      </c>
      <c r="C842" s="58" t="s">
        <v>95</v>
      </c>
      <c r="D842" s="70">
        <f>ROUND(D839*1,4)</f>
        <v>0.0285</v>
      </c>
      <c r="E842" s="60"/>
      <c r="F842" s="86">
        <f>TRUNC(0.35*(1+Orcamento!$E$106),4)</f>
        <v>0.3889</v>
      </c>
      <c r="G842" s="68" t="s">
        <v>82</v>
      </c>
      <c r="H842" s="62" t="s">
        <v>89</v>
      </c>
      <c r="I842" s="83">
        <f t="shared" si="54"/>
        <v>0.011</v>
      </c>
    </row>
    <row r="843" spans="1:9" s="11" customFormat="1" ht="15">
      <c r="A843" s="58" t="s">
        <v>98</v>
      </c>
      <c r="B843" s="59" t="s">
        <v>43</v>
      </c>
      <c r="C843" s="58" t="s">
        <v>95</v>
      </c>
      <c r="D843" s="70">
        <f>ROUND(D842*0.5,4)</f>
        <v>0.0143</v>
      </c>
      <c r="E843" s="60"/>
      <c r="F843" s="86">
        <f>TRUNC(6*(1+Orcamento!$E$106),4)</f>
        <v>6.6678</v>
      </c>
      <c r="G843" s="68" t="s">
        <v>82</v>
      </c>
      <c r="H843" s="62" t="s">
        <v>88</v>
      </c>
      <c r="I843" s="83">
        <f t="shared" si="54"/>
        <v>0.0953</v>
      </c>
    </row>
    <row r="844" s="11" customFormat="1" ht="15">
      <c r="B844" s="6"/>
    </row>
    <row r="845" spans="2:5" s="11" customFormat="1" ht="15">
      <c r="B845" s="6"/>
      <c r="C845" s="7"/>
      <c r="D845" s="7"/>
      <c r="E845" s="7"/>
    </row>
    <row r="846" spans="1:9" s="11" customFormat="1" ht="15">
      <c r="A846" s="46" t="s">
        <v>29</v>
      </c>
      <c r="B846" s="46" t="s">
        <v>30</v>
      </c>
      <c r="C846" s="47"/>
      <c r="D846" s="47"/>
      <c r="E846" s="47"/>
      <c r="F846" s="47"/>
      <c r="G846" s="48"/>
      <c r="H846" s="45" t="s">
        <v>70</v>
      </c>
      <c r="I846" s="45" t="s">
        <v>69</v>
      </c>
    </row>
    <row r="847" spans="1:9" s="11" customFormat="1" ht="15">
      <c r="A847" s="49" t="s">
        <v>307</v>
      </c>
      <c r="B847" s="120" t="s">
        <v>409</v>
      </c>
      <c r="C847" s="121"/>
      <c r="D847" s="121"/>
      <c r="E847" s="121"/>
      <c r="F847" s="121"/>
      <c r="G847" s="122"/>
      <c r="H847" s="123" t="s">
        <v>180</v>
      </c>
      <c r="I847" s="124">
        <f>TRUNC(SUM(I849:I854),2)</f>
        <v>8.69</v>
      </c>
    </row>
    <row r="848" spans="1:9" s="11" customFormat="1" ht="15.75" customHeight="1">
      <c r="A848" s="51" t="s">
        <v>1</v>
      </c>
      <c r="B848" s="52" t="s">
        <v>2</v>
      </c>
      <c r="C848" s="52" t="s">
        <v>31</v>
      </c>
      <c r="D848" s="53" t="s">
        <v>32</v>
      </c>
      <c r="E848" s="54" t="s">
        <v>33</v>
      </c>
      <c r="F848" s="55" t="s">
        <v>4</v>
      </c>
      <c r="G848" s="56" t="s">
        <v>33</v>
      </c>
      <c r="H848" s="57"/>
      <c r="I848" s="53" t="s">
        <v>71</v>
      </c>
    </row>
    <row r="849" spans="1:9" s="11" customFormat="1" ht="28.5">
      <c r="A849" s="58">
        <v>1</v>
      </c>
      <c r="B849" s="59" t="s">
        <v>125</v>
      </c>
      <c r="C849" s="58" t="s">
        <v>79</v>
      </c>
      <c r="D849" s="70">
        <f>ROUND((D850)*0.05,4)</f>
        <v>0.0035</v>
      </c>
      <c r="E849" s="97">
        <v>0.05</v>
      </c>
      <c r="F849" s="86">
        <v>147.75</v>
      </c>
      <c r="G849" s="61" t="s">
        <v>92</v>
      </c>
      <c r="H849" s="62">
        <v>90779</v>
      </c>
      <c r="I849" s="83">
        <f aca="true" t="shared" si="55" ref="I849:I854">TRUNC(D849*F849,4)</f>
        <v>0.5171</v>
      </c>
    </row>
    <row r="850" spans="1:9" s="11" customFormat="1" ht="28.5">
      <c r="A850" s="58">
        <v>2</v>
      </c>
      <c r="B850" s="59" t="s">
        <v>38</v>
      </c>
      <c r="C850" s="58" t="s">
        <v>79</v>
      </c>
      <c r="D850" s="70">
        <v>0.07010000000000001</v>
      </c>
      <c r="E850" s="60"/>
      <c r="F850" s="86">
        <v>108.39</v>
      </c>
      <c r="G850" s="61" t="s">
        <v>64</v>
      </c>
      <c r="H850" s="62">
        <v>90778</v>
      </c>
      <c r="I850" s="83">
        <f t="shared" si="55"/>
        <v>7.5981</v>
      </c>
    </row>
    <row r="851" spans="1:9" s="11" customFormat="1" ht="15">
      <c r="A851" s="58">
        <v>3</v>
      </c>
      <c r="B851" s="59" t="s">
        <v>48</v>
      </c>
      <c r="C851" s="58" t="s">
        <v>95</v>
      </c>
      <c r="D851" s="70">
        <v>0.001</v>
      </c>
      <c r="E851" s="60"/>
      <c r="F851" s="86">
        <v>240.82</v>
      </c>
      <c r="G851" s="61" t="s">
        <v>77</v>
      </c>
      <c r="H851" s="62" t="s">
        <v>126</v>
      </c>
      <c r="I851" s="83">
        <f t="shared" si="55"/>
        <v>0.2408</v>
      </c>
    </row>
    <row r="852" spans="1:9" s="73" customFormat="1" ht="14.25">
      <c r="A852" s="58">
        <v>4</v>
      </c>
      <c r="B852" s="59" t="s">
        <v>80</v>
      </c>
      <c r="C852" s="69" t="s">
        <v>81</v>
      </c>
      <c r="D852" s="84">
        <f>ROUND((D850)/176,6)</f>
        <v>0.000398</v>
      </c>
      <c r="E852" s="60"/>
      <c r="F852" s="83">
        <f>TRUNC(171.37*(1+Orcamento!$E$106),4)</f>
        <v>190.4434</v>
      </c>
      <c r="G852" s="77" t="s">
        <v>82</v>
      </c>
      <c r="H852" s="72" t="s">
        <v>57</v>
      </c>
      <c r="I852" s="83">
        <f t="shared" si="55"/>
        <v>0.0757</v>
      </c>
    </row>
    <row r="853" spans="1:9" s="11" customFormat="1" ht="15">
      <c r="A853" s="58" t="s">
        <v>97</v>
      </c>
      <c r="B853" s="59" t="s">
        <v>36</v>
      </c>
      <c r="C853" s="58" t="s">
        <v>95</v>
      </c>
      <c r="D853" s="70">
        <f>ROUND(D850*1,4)</f>
        <v>0.0701</v>
      </c>
      <c r="E853" s="60"/>
      <c r="F853" s="86">
        <f>TRUNC(0.35*(1+Orcamento!$E$106),4)</f>
        <v>0.3889</v>
      </c>
      <c r="G853" s="68" t="s">
        <v>82</v>
      </c>
      <c r="H853" s="62" t="s">
        <v>89</v>
      </c>
      <c r="I853" s="83">
        <f t="shared" si="55"/>
        <v>0.0272</v>
      </c>
    </row>
    <row r="854" spans="1:9" s="11" customFormat="1" ht="15">
      <c r="A854" s="58" t="s">
        <v>98</v>
      </c>
      <c r="B854" s="59" t="s">
        <v>43</v>
      </c>
      <c r="C854" s="58" t="s">
        <v>95</v>
      </c>
      <c r="D854" s="70">
        <f>ROUND(D853*0.5,4)</f>
        <v>0.0351</v>
      </c>
      <c r="E854" s="60"/>
      <c r="F854" s="86">
        <f>TRUNC(6*(1+Orcamento!$E$106),4)</f>
        <v>6.6678</v>
      </c>
      <c r="G854" s="68" t="s">
        <v>82</v>
      </c>
      <c r="H854" s="62" t="s">
        <v>88</v>
      </c>
      <c r="I854" s="83">
        <f t="shared" si="55"/>
        <v>0.234</v>
      </c>
    </row>
    <row r="855" s="11" customFormat="1" ht="15">
      <c r="B855" s="6"/>
    </row>
    <row r="856" spans="2:5" s="11" customFormat="1" ht="15">
      <c r="B856" s="6"/>
      <c r="C856" s="7"/>
      <c r="D856" s="7"/>
      <c r="E856" s="7"/>
    </row>
    <row r="857" spans="1:9" s="11" customFormat="1" ht="15">
      <c r="A857" s="46" t="s">
        <v>29</v>
      </c>
      <c r="B857" s="46" t="s">
        <v>30</v>
      </c>
      <c r="C857" s="47"/>
      <c r="D857" s="47"/>
      <c r="E857" s="47"/>
      <c r="F857" s="47"/>
      <c r="G857" s="48"/>
      <c r="H857" s="45" t="s">
        <v>70</v>
      </c>
      <c r="I857" s="45" t="s">
        <v>69</v>
      </c>
    </row>
    <row r="858" spans="1:9" s="11" customFormat="1" ht="15">
      <c r="A858" s="49" t="s">
        <v>410</v>
      </c>
      <c r="B858" s="120" t="s">
        <v>287</v>
      </c>
      <c r="C858" s="121"/>
      <c r="D858" s="121"/>
      <c r="E858" s="121"/>
      <c r="F858" s="121"/>
      <c r="G858" s="122"/>
      <c r="H858" s="123" t="s">
        <v>180</v>
      </c>
      <c r="I858" s="124">
        <f>TRUNC(SUM(I860:I864),2)</f>
        <v>7.83</v>
      </c>
    </row>
    <row r="859" spans="1:9" s="11" customFormat="1" ht="15.75" customHeight="1">
      <c r="A859" s="51" t="s">
        <v>1</v>
      </c>
      <c r="B859" s="52" t="s">
        <v>2</v>
      </c>
      <c r="C859" s="52" t="s">
        <v>31</v>
      </c>
      <c r="D859" s="53" t="s">
        <v>32</v>
      </c>
      <c r="E859" s="54" t="s">
        <v>33</v>
      </c>
      <c r="F859" s="55" t="s">
        <v>4</v>
      </c>
      <c r="G859" s="56" t="s">
        <v>33</v>
      </c>
      <c r="H859" s="57"/>
      <c r="I859" s="53" t="s">
        <v>71</v>
      </c>
    </row>
    <row r="860" spans="1:9" s="11" customFormat="1" ht="28.5">
      <c r="A860" s="58">
        <v>1</v>
      </c>
      <c r="B860" s="59" t="s">
        <v>125</v>
      </c>
      <c r="C860" s="58" t="s">
        <v>79</v>
      </c>
      <c r="D860" s="70">
        <f>ROUND((D861)*0.05,4)</f>
        <v>0.0032</v>
      </c>
      <c r="E860" s="97">
        <v>0.05</v>
      </c>
      <c r="F860" s="86">
        <v>147.75</v>
      </c>
      <c r="G860" s="61" t="s">
        <v>92</v>
      </c>
      <c r="H860" s="62">
        <v>90779</v>
      </c>
      <c r="I860" s="83">
        <f>TRUNC(D860*F860,4)</f>
        <v>0.4728</v>
      </c>
    </row>
    <row r="861" spans="1:9" s="11" customFormat="1" ht="28.5">
      <c r="A861" s="58">
        <v>2</v>
      </c>
      <c r="B861" s="59" t="s">
        <v>38</v>
      </c>
      <c r="C861" s="58" t="s">
        <v>79</v>
      </c>
      <c r="D861" s="70">
        <v>0.0631</v>
      </c>
      <c r="E861" s="60"/>
      <c r="F861" s="86">
        <v>108.39</v>
      </c>
      <c r="G861" s="61" t="s">
        <v>64</v>
      </c>
      <c r="H861" s="62">
        <v>90778</v>
      </c>
      <c r="I861" s="83">
        <f>TRUNC(D861*F861,4)</f>
        <v>6.8394</v>
      </c>
    </row>
    <row r="862" spans="1:9" s="11" customFormat="1" ht="15">
      <c r="A862" s="58">
        <v>3</v>
      </c>
      <c r="B862" s="59" t="s">
        <v>48</v>
      </c>
      <c r="C862" s="58" t="s">
        <v>95</v>
      </c>
      <c r="D862" s="70">
        <v>0.0018</v>
      </c>
      <c r="E862" s="60"/>
      <c r="F862" s="86">
        <v>240.82</v>
      </c>
      <c r="G862" s="61" t="s">
        <v>77</v>
      </c>
      <c r="H862" s="62" t="s">
        <v>126</v>
      </c>
      <c r="I862" s="83">
        <f>TRUNC(D862*F862,4)</f>
        <v>0.4334</v>
      </c>
    </row>
    <row r="863" spans="1:9" s="73" customFormat="1" ht="14.25">
      <c r="A863" s="58">
        <v>4</v>
      </c>
      <c r="B863" s="59" t="s">
        <v>80</v>
      </c>
      <c r="C863" s="69" t="s">
        <v>81</v>
      </c>
      <c r="D863" s="84">
        <f>ROUND((D861)/176,6)</f>
        <v>0.000359</v>
      </c>
      <c r="E863" s="60"/>
      <c r="F863" s="83">
        <f>TRUNC(171.37*(1+Orcamento!$E$106),4)</f>
        <v>190.4434</v>
      </c>
      <c r="G863" s="77" t="s">
        <v>82</v>
      </c>
      <c r="H863" s="72" t="s">
        <v>57</v>
      </c>
      <c r="I863" s="83">
        <f>TRUNC(D863*F863,4)</f>
        <v>0.0683</v>
      </c>
    </row>
    <row r="864" spans="1:9" s="11" customFormat="1" ht="15">
      <c r="A864" s="58">
        <v>5</v>
      </c>
      <c r="B864" s="59" t="s">
        <v>36</v>
      </c>
      <c r="C864" s="58" t="s">
        <v>95</v>
      </c>
      <c r="D864" s="70">
        <f>ROUND(D861*1,4)</f>
        <v>0.0631</v>
      </c>
      <c r="E864" s="60"/>
      <c r="F864" s="86">
        <f>TRUNC(0.35*(1+Orcamento!$E$106),4)</f>
        <v>0.3889</v>
      </c>
      <c r="G864" s="68" t="s">
        <v>82</v>
      </c>
      <c r="H864" s="62" t="s">
        <v>89</v>
      </c>
      <c r="I864" s="83">
        <f>TRUNC(D864*F864,4)</f>
        <v>0.0245</v>
      </c>
    </row>
    <row r="865" ht="15">
      <c r="B865" s="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5"/>
  <sheetViews>
    <sheetView showGridLines="0" zoomScale="55" zoomScaleNormal="55" zoomScalePageLayoutView="0" workbookViewId="0" topLeftCell="A67">
      <selection activeCell="N91" sqref="N91"/>
    </sheetView>
  </sheetViews>
  <sheetFormatPr defaultColWidth="15.28125" defaultRowHeight="15"/>
  <cols>
    <col min="1" max="1" width="8.57421875" style="0" bestFit="1" customWidth="1"/>
    <col min="2" max="2" width="61.140625" style="0" customWidth="1"/>
    <col min="3" max="4" width="15.7109375" style="0" customWidth="1"/>
    <col min="5" max="5" width="9.7109375" style="0" bestFit="1" customWidth="1"/>
    <col min="6" max="6" width="15.00390625" style="11" bestFit="1" customWidth="1"/>
    <col min="7" max="7" width="9.7109375" style="11" bestFit="1" customWidth="1"/>
    <col min="8" max="8" width="15.7109375" style="11" bestFit="1" customWidth="1"/>
    <col min="9" max="9" width="10.57421875" style="11" bestFit="1" customWidth="1"/>
    <col min="10" max="10" width="15.00390625" style="11" bestFit="1" customWidth="1"/>
    <col min="11" max="11" width="10.57421875" style="11" bestFit="1" customWidth="1"/>
    <col min="12" max="12" width="16.00390625" style="11" bestFit="1" customWidth="1"/>
    <col min="13" max="13" width="10.57421875" style="11" bestFit="1" customWidth="1"/>
    <col min="14" max="14" width="16.57421875" style="11" bestFit="1" customWidth="1"/>
    <col min="15" max="15" width="10.57421875" style="11" bestFit="1" customWidth="1"/>
    <col min="16" max="16" width="15.00390625" style="11" bestFit="1" customWidth="1"/>
    <col min="17" max="17" width="10.57421875" style="11" bestFit="1" customWidth="1"/>
    <col min="18" max="18" width="16.28125" style="11" bestFit="1" customWidth="1"/>
    <col min="19" max="19" width="10.57421875" style="11" bestFit="1" customWidth="1"/>
    <col min="20" max="20" width="15.7109375" style="11" bestFit="1" customWidth="1"/>
    <col min="21" max="21" width="10.57421875" style="11" bestFit="1" customWidth="1"/>
    <col min="22" max="22" width="15.00390625" style="11" bestFit="1" customWidth="1"/>
    <col min="23" max="23" width="10.00390625" style="11" bestFit="1" customWidth="1"/>
    <col min="24" max="24" width="15.7109375" style="11" bestFit="1" customWidth="1"/>
    <col min="25" max="25" width="10.00390625" style="11" bestFit="1" customWidth="1"/>
    <col min="26" max="26" width="16.00390625" style="11" bestFit="1" customWidth="1"/>
    <col min="27" max="27" width="10.57421875" style="11" bestFit="1" customWidth="1"/>
    <col min="28" max="28" width="11.8515625" style="0" bestFit="1" customWidth="1"/>
    <col min="29" max="29" width="11.57421875" style="0" bestFit="1" customWidth="1"/>
  </cols>
  <sheetData>
    <row r="1" spans="1:9" s="28" customFormat="1" ht="19.5" customHeight="1" thickBot="1">
      <c r="A1" s="27"/>
      <c r="B1" s="27" t="s">
        <v>67</v>
      </c>
      <c r="C1" s="27"/>
      <c r="D1" s="27"/>
      <c r="E1" s="27"/>
      <c r="F1" s="27"/>
      <c r="G1" s="27"/>
      <c r="H1" s="27"/>
      <c r="I1" s="27"/>
    </row>
    <row r="2" spans="1:29" s="28" customFormat="1" ht="18.75">
      <c r="A2" s="29"/>
      <c r="B2" s="30" t="s">
        <v>212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s="28" customFormat="1" ht="18" customHeight="1">
      <c r="A3" s="32"/>
      <c r="B3" s="207" t="s">
        <v>406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36"/>
    </row>
    <row r="4" spans="1:29" s="28" customFormat="1" ht="15">
      <c r="A4" s="32"/>
      <c r="B4" s="34" t="s">
        <v>105</v>
      </c>
      <c r="C4" s="35"/>
      <c r="D4" s="35"/>
      <c r="E4" s="35"/>
      <c r="F4" s="35"/>
      <c r="G4" s="35"/>
      <c r="H4" s="33"/>
      <c r="I4" s="33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6"/>
    </row>
    <row r="5" spans="1:29" s="28" customFormat="1" ht="14.25">
      <c r="A5" s="32"/>
      <c r="B5" s="33"/>
      <c r="C5" s="35"/>
      <c r="D5" s="35"/>
      <c r="E5" s="33"/>
      <c r="F5" s="35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6"/>
    </row>
    <row r="6" spans="1:29" s="28" customFormat="1" ht="18">
      <c r="A6" s="44"/>
      <c r="B6" s="38" t="s">
        <v>44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9"/>
    </row>
    <row r="7" spans="1:29" s="28" customFormat="1" ht="18.75" thickBot="1">
      <c r="A7" s="40"/>
      <c r="B7" s="41"/>
      <c r="C7" s="41"/>
      <c r="D7" s="42"/>
      <c r="E7" s="41"/>
      <c r="F7" s="42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</row>
    <row r="8" spans="1:29" s="145" customFormat="1" ht="15" customHeight="1">
      <c r="A8" s="280" t="s">
        <v>1</v>
      </c>
      <c r="B8" s="282" t="s">
        <v>2</v>
      </c>
      <c r="C8" s="284" t="s">
        <v>200</v>
      </c>
      <c r="D8" s="272" t="s">
        <v>142</v>
      </c>
      <c r="E8" s="273"/>
      <c r="F8" s="272" t="s">
        <v>143</v>
      </c>
      <c r="G8" s="273"/>
      <c r="H8" s="272" t="s">
        <v>144</v>
      </c>
      <c r="I8" s="273"/>
      <c r="J8" s="272" t="s">
        <v>145</v>
      </c>
      <c r="K8" s="273"/>
      <c r="L8" s="272" t="s">
        <v>146</v>
      </c>
      <c r="M8" s="273"/>
      <c r="N8" s="272" t="s">
        <v>147</v>
      </c>
      <c r="O8" s="273"/>
      <c r="P8" s="272" t="s">
        <v>148</v>
      </c>
      <c r="Q8" s="273"/>
      <c r="R8" s="272" t="s">
        <v>149</v>
      </c>
      <c r="S8" s="273"/>
      <c r="T8" s="272" t="s">
        <v>150</v>
      </c>
      <c r="U8" s="273"/>
      <c r="V8" s="272" t="s">
        <v>151</v>
      </c>
      <c r="W8" s="273"/>
      <c r="X8" s="272" t="s">
        <v>152</v>
      </c>
      <c r="Y8" s="273"/>
      <c r="Z8" s="272" t="s">
        <v>153</v>
      </c>
      <c r="AA8" s="273"/>
      <c r="AB8" s="279" t="s">
        <v>72</v>
      </c>
      <c r="AC8" s="273"/>
    </row>
    <row r="9" spans="1:29" s="145" customFormat="1" ht="15">
      <c r="A9" s="281"/>
      <c r="B9" s="283"/>
      <c r="C9" s="285"/>
      <c r="D9" s="146" t="s">
        <v>45</v>
      </c>
      <c r="E9" s="146" t="s">
        <v>154</v>
      </c>
      <c r="F9" s="146" t="s">
        <v>45</v>
      </c>
      <c r="G9" s="146" t="s">
        <v>154</v>
      </c>
      <c r="H9" s="146" t="s">
        <v>45</v>
      </c>
      <c r="I9" s="146" t="s">
        <v>154</v>
      </c>
      <c r="J9" s="146" t="s">
        <v>45</v>
      </c>
      <c r="K9" s="146" t="s">
        <v>154</v>
      </c>
      <c r="L9" s="146" t="s">
        <v>45</v>
      </c>
      <c r="M9" s="146" t="s">
        <v>154</v>
      </c>
      <c r="N9" s="146" t="s">
        <v>45</v>
      </c>
      <c r="O9" s="146" t="s">
        <v>154</v>
      </c>
      <c r="P9" s="146" t="s">
        <v>45</v>
      </c>
      <c r="Q9" s="146" t="s">
        <v>154</v>
      </c>
      <c r="R9" s="146" t="s">
        <v>45</v>
      </c>
      <c r="S9" s="146" t="s">
        <v>154</v>
      </c>
      <c r="T9" s="146" t="s">
        <v>45</v>
      </c>
      <c r="U9" s="146" t="s">
        <v>154</v>
      </c>
      <c r="V9" s="146" t="s">
        <v>45</v>
      </c>
      <c r="W9" s="146" t="s">
        <v>154</v>
      </c>
      <c r="X9" s="146" t="s">
        <v>45</v>
      </c>
      <c r="Y9" s="146" t="s">
        <v>154</v>
      </c>
      <c r="Z9" s="146" t="s">
        <v>45</v>
      </c>
      <c r="AA9" s="146" t="s">
        <v>154</v>
      </c>
      <c r="AB9" s="146" t="s">
        <v>45</v>
      </c>
      <c r="AC9" s="146" t="s">
        <v>154</v>
      </c>
    </row>
    <row r="10" spans="1:29" s="152" customFormat="1" ht="15">
      <c r="A10" s="147">
        <f>Orcamento!A9</f>
        <v>1</v>
      </c>
      <c r="B10" s="147" t="str">
        <f>Orcamento!D9</f>
        <v>Levantamentos</v>
      </c>
      <c r="C10" s="148"/>
      <c r="D10" s="149"/>
      <c r="E10" s="150"/>
      <c r="F10" s="149"/>
      <c r="G10" s="150"/>
      <c r="H10" s="149"/>
      <c r="I10" s="150"/>
      <c r="J10" s="149"/>
      <c r="K10" s="150"/>
      <c r="L10" s="149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9"/>
      <c r="AA10" s="150"/>
      <c r="AB10" s="150"/>
      <c r="AC10" s="151"/>
    </row>
    <row r="11" spans="1:29" s="152" customFormat="1" ht="15">
      <c r="A11" s="182" t="str">
        <f>Orcamento!A10</f>
        <v>1.1</v>
      </c>
      <c r="B11" s="182" t="str">
        <f>Orcamento!D10</f>
        <v>Investigações Geotécnicas</v>
      </c>
      <c r="C11" s="183"/>
      <c r="D11" s="184"/>
      <c r="E11" s="185"/>
      <c r="F11" s="184"/>
      <c r="G11" s="186"/>
      <c r="H11" s="184"/>
      <c r="I11" s="186"/>
      <c r="J11" s="184"/>
      <c r="K11" s="186"/>
      <c r="L11" s="184"/>
      <c r="M11" s="186"/>
      <c r="N11" s="184"/>
      <c r="O11" s="186"/>
      <c r="P11" s="184"/>
      <c r="Q11" s="186"/>
      <c r="R11" s="184"/>
      <c r="S11" s="186"/>
      <c r="T11" s="186"/>
      <c r="U11" s="186"/>
      <c r="V11" s="184"/>
      <c r="W11" s="186"/>
      <c r="X11" s="186"/>
      <c r="Y11" s="186"/>
      <c r="Z11" s="184"/>
      <c r="AA11" s="186"/>
      <c r="AB11" s="220"/>
      <c r="AC11" s="151"/>
    </row>
    <row r="12" spans="1:30" s="145" customFormat="1" ht="28.5">
      <c r="A12" s="153" t="str">
        <f>Orcamento!A11</f>
        <v>1.1.1</v>
      </c>
      <c r="B12" s="154" t="str">
        <f>Orcamento!D11</f>
        <v>Mobilização, Instalação e Desmobilização de equipamento de sondagem</v>
      </c>
      <c r="C12" s="155">
        <f>Orcamento!I11</f>
        <v>642.68</v>
      </c>
      <c r="D12" s="156"/>
      <c r="E12" s="166"/>
      <c r="F12" s="156"/>
      <c r="G12" s="166"/>
      <c r="H12" s="156"/>
      <c r="I12" s="166"/>
      <c r="J12" s="247">
        <f aca="true" t="shared" si="0" ref="J12:J18">TRUNC($C12*K12,2)</f>
        <v>642.68</v>
      </c>
      <c r="K12" s="248">
        <v>1</v>
      </c>
      <c r="L12" s="157"/>
      <c r="M12" s="158"/>
      <c r="N12" s="156"/>
      <c r="O12" s="166"/>
      <c r="P12" s="239">
        <f>TRUNC($C12*Q12,2)</f>
        <v>1285.36</v>
      </c>
      <c r="Q12" s="240">
        <v>2</v>
      </c>
      <c r="R12" s="156"/>
      <c r="S12" s="166"/>
      <c r="T12" s="156"/>
      <c r="U12" s="166"/>
      <c r="V12" s="227">
        <f>TRUNC($C12*W12,2)</f>
        <v>1285.36</v>
      </c>
      <c r="W12" s="228">
        <v>2</v>
      </c>
      <c r="X12" s="158"/>
      <c r="Y12" s="158"/>
      <c r="Z12" s="156"/>
      <c r="AA12" s="166"/>
      <c r="AB12" s="221">
        <f>D12+F12+H12+J12+L12+N12+P12+R12+T12+V12+X12+Z12</f>
        <v>3213.3999999999996</v>
      </c>
      <c r="AC12" s="224">
        <f>E12+G12+I12+K12+M12+O12+Q12+S12+U12+W12+Y12+AA12</f>
        <v>5</v>
      </c>
      <c r="AD12" s="188"/>
    </row>
    <row r="13" spans="1:30" s="145" customFormat="1" ht="15">
      <c r="A13" s="153" t="str">
        <f>Orcamento!A12</f>
        <v>1.1.2</v>
      </c>
      <c r="B13" s="154" t="str">
        <f>Orcamento!D12</f>
        <v>Deslocamento entre furos - sondagem</v>
      </c>
      <c r="C13" s="155">
        <f>Orcamento!I12</f>
        <v>160.68</v>
      </c>
      <c r="D13" s="156"/>
      <c r="E13" s="166"/>
      <c r="F13" s="156"/>
      <c r="G13" s="166"/>
      <c r="H13" s="156"/>
      <c r="I13" s="166"/>
      <c r="J13" s="247">
        <f t="shared" si="0"/>
        <v>321.36</v>
      </c>
      <c r="K13" s="248">
        <v>2</v>
      </c>
      <c r="L13" s="157"/>
      <c r="M13" s="158"/>
      <c r="N13" s="156"/>
      <c r="O13" s="166"/>
      <c r="P13" s="239">
        <f>TRUNC($C13*Q13,2)</f>
        <v>642.72</v>
      </c>
      <c r="Q13" s="240">
        <v>4</v>
      </c>
      <c r="R13" s="156"/>
      <c r="S13" s="166"/>
      <c r="T13" s="156"/>
      <c r="U13" s="166"/>
      <c r="V13" s="227">
        <f>TRUNC($C13*W13,2)</f>
        <v>642.72</v>
      </c>
      <c r="W13" s="228">
        <v>4</v>
      </c>
      <c r="X13" s="158"/>
      <c r="Y13" s="158"/>
      <c r="Z13" s="156"/>
      <c r="AA13" s="166"/>
      <c r="AB13" s="221">
        <f aca="true" t="shared" si="1" ref="AB13:AB19">D13+F13+H13+J13+L13+N13+P13+R13+T13+V13+X13+Z13</f>
        <v>1606.8000000000002</v>
      </c>
      <c r="AC13" s="224">
        <f aca="true" t="shared" si="2" ref="AC13:AC91">E13+G13+I13+K13+M13+O13+Q13+S13+U13+W13+Y13+AA13</f>
        <v>10</v>
      </c>
      <c r="AD13" s="188"/>
    </row>
    <row r="14" spans="1:30" s="145" customFormat="1" ht="15">
      <c r="A14" s="153" t="str">
        <f>Orcamento!A13</f>
        <v>1.1.3</v>
      </c>
      <c r="B14" s="154" t="str">
        <f>Orcamento!D13</f>
        <v>Sondagem Percussão, incluso relatorio</v>
      </c>
      <c r="C14" s="155">
        <f>Orcamento!I13</f>
        <v>145.59</v>
      </c>
      <c r="D14" s="156"/>
      <c r="E14" s="166"/>
      <c r="F14" s="156"/>
      <c r="G14" s="166"/>
      <c r="H14" s="156"/>
      <c r="I14" s="166"/>
      <c r="J14" s="247">
        <f t="shared" si="0"/>
        <v>3494.16</v>
      </c>
      <c r="K14" s="248">
        <v>24</v>
      </c>
      <c r="L14" s="157"/>
      <c r="M14" s="158"/>
      <c r="N14" s="156"/>
      <c r="O14" s="166"/>
      <c r="P14" s="239">
        <f>TRUNC($C14*Q14,2)</f>
        <v>6988.32</v>
      </c>
      <c r="Q14" s="240">
        <v>48</v>
      </c>
      <c r="R14" s="156"/>
      <c r="S14" s="166"/>
      <c r="T14" s="156"/>
      <c r="U14" s="166"/>
      <c r="V14" s="227">
        <f>TRUNC($C14*W14,2)</f>
        <v>6988.32</v>
      </c>
      <c r="W14" s="228">
        <v>48</v>
      </c>
      <c r="X14" s="158"/>
      <c r="Y14" s="158"/>
      <c r="Z14" s="156"/>
      <c r="AA14" s="166"/>
      <c r="AB14" s="221">
        <f t="shared" si="1"/>
        <v>17470.8</v>
      </c>
      <c r="AC14" s="213">
        <f t="shared" si="2"/>
        <v>120</v>
      </c>
      <c r="AD14" s="188"/>
    </row>
    <row r="15" spans="1:30" s="145" customFormat="1" ht="15">
      <c r="A15" s="153" t="str">
        <f>Orcamento!A14</f>
        <v>1.1.4</v>
      </c>
      <c r="B15" s="154" t="str">
        <f>Orcamento!D14</f>
        <v>Sondagem Trado para Edificações, incluso relatorio</v>
      </c>
      <c r="C15" s="155">
        <f>Orcamento!I14</f>
        <v>108.49</v>
      </c>
      <c r="D15" s="156"/>
      <c r="E15" s="166"/>
      <c r="F15" s="156"/>
      <c r="G15" s="166"/>
      <c r="H15" s="156"/>
      <c r="I15" s="166"/>
      <c r="J15" s="247">
        <f t="shared" si="0"/>
        <v>216.98</v>
      </c>
      <c r="K15" s="248">
        <v>2</v>
      </c>
      <c r="L15" s="157"/>
      <c r="M15" s="158"/>
      <c r="N15" s="156"/>
      <c r="O15" s="166"/>
      <c r="P15" s="239">
        <f>TRUNC($C15*Q15,2)</f>
        <v>433.96</v>
      </c>
      <c r="Q15" s="240">
        <v>4</v>
      </c>
      <c r="R15" s="156"/>
      <c r="S15" s="166"/>
      <c r="T15" s="156"/>
      <c r="U15" s="166"/>
      <c r="V15" s="227">
        <f>TRUNC($C15*W15,2)</f>
        <v>433.96</v>
      </c>
      <c r="W15" s="228">
        <v>4</v>
      </c>
      <c r="X15" s="158"/>
      <c r="Y15" s="158"/>
      <c r="Z15" s="156"/>
      <c r="AA15" s="166"/>
      <c r="AB15" s="221">
        <f t="shared" si="1"/>
        <v>1084.8999999999999</v>
      </c>
      <c r="AC15" s="213">
        <f t="shared" si="2"/>
        <v>10</v>
      </c>
      <c r="AD15" s="188"/>
    </row>
    <row r="16" spans="1:30" s="145" customFormat="1" ht="15">
      <c r="A16" s="153" t="str">
        <f>Orcamento!A15</f>
        <v>1.1.5</v>
      </c>
      <c r="B16" s="154" t="str">
        <f>Orcamento!D15</f>
        <v>Sondagem Trado para Pavimentos, incluso relatorio</v>
      </c>
      <c r="C16" s="155">
        <f>Orcamento!I15</f>
        <v>742.55</v>
      </c>
      <c r="D16" s="156"/>
      <c r="E16" s="166"/>
      <c r="F16" s="156"/>
      <c r="G16" s="166"/>
      <c r="H16" s="156"/>
      <c r="I16" s="166"/>
      <c r="J16" s="247">
        <f t="shared" si="0"/>
        <v>2970.2</v>
      </c>
      <c r="K16" s="248">
        <v>4</v>
      </c>
      <c r="L16" s="157"/>
      <c r="M16" s="158"/>
      <c r="N16" s="156"/>
      <c r="O16" s="166"/>
      <c r="P16" s="239">
        <f>TRUNC($C16*Q16,2)</f>
        <v>5940.4</v>
      </c>
      <c r="Q16" s="240">
        <v>8</v>
      </c>
      <c r="R16" s="156"/>
      <c r="S16" s="166"/>
      <c r="T16" s="156"/>
      <c r="U16" s="166"/>
      <c r="V16" s="227">
        <f>TRUNC($C16*W16,2)</f>
        <v>5940.4</v>
      </c>
      <c r="W16" s="228">
        <v>8</v>
      </c>
      <c r="X16" s="158"/>
      <c r="Y16" s="158"/>
      <c r="Z16" s="156"/>
      <c r="AA16" s="166"/>
      <c r="AB16" s="221">
        <f t="shared" si="1"/>
        <v>14850.999999999998</v>
      </c>
      <c r="AC16" s="213">
        <f t="shared" si="2"/>
        <v>20</v>
      </c>
      <c r="AD16" s="188"/>
    </row>
    <row r="17" spans="1:30" s="145" customFormat="1" ht="15">
      <c r="A17" s="153" t="str">
        <f>Orcamento!A16</f>
        <v>1.1.6</v>
      </c>
      <c r="B17" s="154" t="str">
        <f>Orcamento!D16</f>
        <v>Prospecção Fundação</v>
      </c>
      <c r="C17" s="155">
        <f>Orcamento!I16</f>
        <v>1426.98</v>
      </c>
      <c r="D17" s="255">
        <f>TRUNC($C17*E17,2)</f>
        <v>5707.92</v>
      </c>
      <c r="E17" s="256">
        <v>4</v>
      </c>
      <c r="F17" s="156"/>
      <c r="G17" s="166"/>
      <c r="H17" s="243">
        <f>TRUNC($C17*I17,2)</f>
        <v>5707.92</v>
      </c>
      <c r="I17" s="244">
        <v>4</v>
      </c>
      <c r="J17" s="247"/>
      <c r="K17" s="248"/>
      <c r="L17" s="156"/>
      <c r="M17" s="166"/>
      <c r="N17" s="235">
        <f>TRUNC($C17*O17,2)</f>
        <v>5707.92</v>
      </c>
      <c r="O17" s="236">
        <v>4</v>
      </c>
      <c r="P17" s="156"/>
      <c r="Q17" s="169"/>
      <c r="R17" s="156"/>
      <c r="S17" s="166"/>
      <c r="T17" s="232">
        <f>TRUNC($C17*U17,2)</f>
        <v>5707.92</v>
      </c>
      <c r="U17" s="233">
        <v>4</v>
      </c>
      <c r="V17" s="227"/>
      <c r="W17" s="228"/>
      <c r="X17" s="156"/>
      <c r="Y17" s="166"/>
      <c r="Z17" s="156"/>
      <c r="AA17" s="219"/>
      <c r="AB17" s="221">
        <f t="shared" si="1"/>
        <v>22831.68</v>
      </c>
      <c r="AC17" s="224">
        <f t="shared" si="2"/>
        <v>16</v>
      </c>
      <c r="AD17" s="188"/>
    </row>
    <row r="18" spans="1:30" s="145" customFormat="1" ht="15">
      <c r="A18" s="153" t="str">
        <f>Orcamento!A17</f>
        <v>1.2</v>
      </c>
      <c r="B18" s="154" t="str">
        <f>Orcamento!D17</f>
        <v>Topográfico Planialtimétrico</v>
      </c>
      <c r="C18" s="155">
        <f>Orcamento!I17</f>
        <v>1.03</v>
      </c>
      <c r="D18" s="255"/>
      <c r="E18" s="256"/>
      <c r="F18" s="156"/>
      <c r="G18" s="166"/>
      <c r="H18" s="243"/>
      <c r="I18" s="244"/>
      <c r="J18" s="247">
        <f t="shared" si="0"/>
        <v>3852.2</v>
      </c>
      <c r="K18" s="248">
        <f>Quantitativo!$E$15</f>
        <v>3740</v>
      </c>
      <c r="L18" s="157"/>
      <c r="M18" s="158"/>
      <c r="N18" s="235"/>
      <c r="O18" s="236"/>
      <c r="P18" s="239">
        <f>TRUNC($C18*Q18,2)</f>
        <v>2884</v>
      </c>
      <c r="Q18" s="240">
        <f>Quantitativo!$E$11</f>
        <v>2800</v>
      </c>
      <c r="R18" s="156"/>
      <c r="S18" s="166"/>
      <c r="T18" s="232"/>
      <c r="U18" s="233"/>
      <c r="V18" s="227">
        <f>TRUNC($C18*W18,2)</f>
        <v>4360.76</v>
      </c>
      <c r="W18" s="228">
        <f>Quantitativo!$E$17</f>
        <v>4233.75</v>
      </c>
      <c r="X18" s="158"/>
      <c r="Y18" s="158"/>
      <c r="Z18" s="156"/>
      <c r="AA18" s="166"/>
      <c r="AB18" s="221">
        <f t="shared" si="1"/>
        <v>11096.96</v>
      </c>
      <c r="AC18" s="213">
        <f t="shared" si="2"/>
        <v>10773.75</v>
      </c>
      <c r="AD18" s="188"/>
    </row>
    <row r="19" spans="1:30" s="145" customFormat="1" ht="15">
      <c r="A19" s="153" t="str">
        <f>Orcamento!A18</f>
        <v>1.3</v>
      </c>
      <c r="B19" s="154" t="str">
        <f>Orcamento!D18</f>
        <v>Fisico / Cadastral</v>
      </c>
      <c r="C19" s="155">
        <f>Orcamento!I18</f>
        <v>2.79</v>
      </c>
      <c r="D19" s="255">
        <f>TRUNC($C19*E19,2)</f>
        <v>4724.86</v>
      </c>
      <c r="E19" s="256">
        <f>Quantitativo!$D$18</f>
        <v>1693.5</v>
      </c>
      <c r="F19" s="156"/>
      <c r="G19" s="166"/>
      <c r="H19" s="243">
        <f>TRUNC($C19*I19,2)</f>
        <v>4533.24</v>
      </c>
      <c r="I19" s="244">
        <f>Quantitativo!$D$10+Quantitativo!$D$12</f>
        <v>1624.82</v>
      </c>
      <c r="J19" s="156"/>
      <c r="K19" s="166"/>
      <c r="L19" s="157"/>
      <c r="M19" s="158"/>
      <c r="N19" s="235">
        <f>TRUNC($C19*O19,2)</f>
        <v>7845.42</v>
      </c>
      <c r="O19" s="236">
        <f>Quantitativo!$D$13+Quantitativo!$D$19</f>
        <v>2811.98</v>
      </c>
      <c r="P19" s="156"/>
      <c r="Q19" s="166"/>
      <c r="R19" s="156"/>
      <c r="S19" s="166"/>
      <c r="T19" s="232">
        <f>TRUNC($C19*U19,2)</f>
        <v>4695.51</v>
      </c>
      <c r="U19" s="233">
        <f>Quantitativo!$D$14+Quantitativo!$D$16</f>
        <v>1682.98</v>
      </c>
      <c r="V19" s="156"/>
      <c r="W19" s="219"/>
      <c r="X19" s="158"/>
      <c r="Y19" s="158"/>
      <c r="Z19" s="156"/>
      <c r="AA19" s="219"/>
      <c r="AB19" s="221">
        <f t="shared" si="1"/>
        <v>21799.03</v>
      </c>
      <c r="AC19" s="213">
        <f t="shared" si="2"/>
        <v>7813.279999999999</v>
      </c>
      <c r="AD19" s="188"/>
    </row>
    <row r="20" spans="1:29" s="152" customFormat="1" ht="15">
      <c r="A20" s="182" t="str">
        <f>Orcamento!A19</f>
        <v>1.4</v>
      </c>
      <c r="B20" s="182" t="str">
        <f>Orcamento!D19</f>
        <v>Inspeções e Avaliações das Instalações Existentes</v>
      </c>
      <c r="C20" s="183"/>
      <c r="D20" s="255"/>
      <c r="E20" s="256"/>
      <c r="F20" s="156"/>
      <c r="G20" s="166"/>
      <c r="H20" s="243"/>
      <c r="I20" s="244"/>
      <c r="J20" s="156"/>
      <c r="K20" s="166"/>
      <c r="L20" s="156"/>
      <c r="M20" s="166"/>
      <c r="N20" s="235"/>
      <c r="O20" s="236"/>
      <c r="P20" s="156"/>
      <c r="Q20" s="166"/>
      <c r="R20" s="156"/>
      <c r="S20" s="166"/>
      <c r="T20" s="232"/>
      <c r="U20" s="233"/>
      <c r="V20" s="184"/>
      <c r="W20" s="186"/>
      <c r="X20" s="186"/>
      <c r="Y20" s="186"/>
      <c r="Z20" s="184"/>
      <c r="AA20" s="186"/>
      <c r="AB20" s="220"/>
      <c r="AC20" s="151"/>
    </row>
    <row r="21" spans="1:30" s="145" customFormat="1" ht="15">
      <c r="A21" s="153" t="str">
        <f>Orcamento!A20</f>
        <v>1.4.1</v>
      </c>
      <c r="B21" s="154" t="str">
        <f>Orcamento!D20</f>
        <v>Perícia e Prescrição Técnica</v>
      </c>
      <c r="C21" s="155">
        <f>Orcamento!I20</f>
        <v>11.36</v>
      </c>
      <c r="D21" s="255">
        <f>TRUNC($C21*E21,2)</f>
        <v>19238.16</v>
      </c>
      <c r="E21" s="256">
        <f>Quantitativo!$D$18</f>
        <v>1693.5</v>
      </c>
      <c r="F21" s="156"/>
      <c r="G21" s="166"/>
      <c r="H21" s="243">
        <f>TRUNC($C21*I21,2)</f>
        <v>18457.95</v>
      </c>
      <c r="I21" s="244">
        <f>Quantitativo!$D$10+Quantitativo!$D$12</f>
        <v>1624.82</v>
      </c>
      <c r="J21" s="156"/>
      <c r="K21" s="166"/>
      <c r="L21" s="156"/>
      <c r="M21" s="166"/>
      <c r="N21" s="235">
        <f>TRUNC($C21*O21,2)</f>
        <v>31944.09</v>
      </c>
      <c r="O21" s="236">
        <f>Quantitativo!$D$13+Quantitativo!$D$19</f>
        <v>2811.98</v>
      </c>
      <c r="P21" s="156"/>
      <c r="Q21" s="166"/>
      <c r="R21" s="156"/>
      <c r="S21" s="166"/>
      <c r="T21" s="232">
        <f>TRUNC($C21*U21,2)</f>
        <v>19118.65</v>
      </c>
      <c r="U21" s="233">
        <f>Quantitativo!$D$14+Quantitativo!$D$16</f>
        <v>1682.98</v>
      </c>
      <c r="V21" s="156"/>
      <c r="W21" s="166"/>
      <c r="X21" s="156"/>
      <c r="Y21" s="166"/>
      <c r="Z21" s="156"/>
      <c r="AA21" s="166"/>
      <c r="AB21" s="221">
        <f aca="true" t="shared" si="3" ref="AB21:AB33">D21+F21+H21+J21+L21+N21+P21+R21+T21+V21+X21+Z21</f>
        <v>88758.85</v>
      </c>
      <c r="AC21" s="213">
        <f aca="true" t="shared" si="4" ref="AC21:AC33">E21+G21+I21+K21+M21+O21+Q21+S21+U21+W21+Y21+AA21</f>
        <v>7813.279999999999</v>
      </c>
      <c r="AD21" s="188"/>
    </row>
    <row r="22" spans="1:30" s="145" customFormat="1" ht="15">
      <c r="A22" s="153" t="str">
        <f>Orcamento!A21</f>
        <v>1.4.2</v>
      </c>
      <c r="B22" s="154" t="str">
        <f>Orcamento!D21</f>
        <v>Ensaios e Prospecções Auxiliares </v>
      </c>
      <c r="C22" s="155"/>
      <c r="D22" s="255"/>
      <c r="E22" s="256"/>
      <c r="F22" s="156"/>
      <c r="G22" s="166"/>
      <c r="H22" s="243"/>
      <c r="I22" s="244"/>
      <c r="J22" s="156"/>
      <c r="K22" s="166"/>
      <c r="L22" s="156"/>
      <c r="M22" s="166"/>
      <c r="N22" s="235"/>
      <c r="O22" s="236"/>
      <c r="P22" s="156"/>
      <c r="Q22" s="166"/>
      <c r="R22" s="156"/>
      <c r="S22" s="166"/>
      <c r="T22" s="232"/>
      <c r="U22" s="233"/>
      <c r="V22" s="156"/>
      <c r="W22" s="166"/>
      <c r="X22" s="156"/>
      <c r="Y22" s="166"/>
      <c r="Z22" s="156"/>
      <c r="AA22" s="166"/>
      <c r="AB22" s="221"/>
      <c r="AC22" s="213"/>
      <c r="AD22" s="188"/>
    </row>
    <row r="23" spans="1:30" s="145" customFormat="1" ht="15">
      <c r="A23" s="153" t="str">
        <f>Orcamento!A22</f>
        <v>1.4.2.1</v>
      </c>
      <c r="B23" s="154" t="str">
        <f>Orcamento!D22</f>
        <v>Gerenciamento, Mobilização e Relatório dos Ensaios</v>
      </c>
      <c r="C23" s="155">
        <f>Orcamento!I22</f>
        <v>7170.23</v>
      </c>
      <c r="D23" s="255">
        <f aca="true" t="shared" si="5" ref="D23:D33">TRUNC($C23*E23,2)</f>
        <v>7170.23</v>
      </c>
      <c r="E23" s="256">
        <v>1</v>
      </c>
      <c r="F23" s="156"/>
      <c r="G23" s="166"/>
      <c r="H23" s="243">
        <f aca="true" t="shared" si="6" ref="H23:H33">TRUNC($C23*I23,2)</f>
        <v>14340.46</v>
      </c>
      <c r="I23" s="244">
        <v>2</v>
      </c>
      <c r="J23" s="156"/>
      <c r="K23" s="166"/>
      <c r="L23" s="156"/>
      <c r="M23" s="166"/>
      <c r="N23" s="235">
        <f aca="true" t="shared" si="7" ref="N23:N33">TRUNC($C23*O23,2)</f>
        <v>14340.46</v>
      </c>
      <c r="O23" s="236">
        <v>2</v>
      </c>
      <c r="P23" s="156"/>
      <c r="Q23" s="166"/>
      <c r="R23" s="156"/>
      <c r="S23" s="166"/>
      <c r="T23" s="232">
        <f aca="true" t="shared" si="8" ref="T23:T33">TRUNC($C23*U23,2)</f>
        <v>14340.46</v>
      </c>
      <c r="U23" s="233">
        <v>2</v>
      </c>
      <c r="V23" s="156"/>
      <c r="W23" s="166"/>
      <c r="X23" s="156"/>
      <c r="Y23" s="166"/>
      <c r="Z23" s="156"/>
      <c r="AA23" s="166"/>
      <c r="AB23" s="221">
        <f t="shared" si="3"/>
        <v>50191.60999999999</v>
      </c>
      <c r="AC23" s="224">
        <f t="shared" si="4"/>
        <v>7</v>
      </c>
      <c r="AD23" s="188"/>
    </row>
    <row r="24" spans="1:30" s="145" customFormat="1" ht="15">
      <c r="A24" s="153" t="str">
        <f>Orcamento!A23</f>
        <v>1.4.2.2</v>
      </c>
      <c r="B24" s="154" t="str">
        <f>Orcamento!D23</f>
        <v>Resistividade</v>
      </c>
      <c r="C24" s="155">
        <f>Orcamento!I23</f>
        <v>238.29</v>
      </c>
      <c r="D24" s="255">
        <f t="shared" si="5"/>
        <v>714.87</v>
      </c>
      <c r="E24" s="256">
        <v>3</v>
      </c>
      <c r="F24" s="156"/>
      <c r="G24" s="166"/>
      <c r="H24" s="243">
        <f t="shared" si="6"/>
        <v>1429.74</v>
      </c>
      <c r="I24" s="244">
        <v>6</v>
      </c>
      <c r="J24" s="156"/>
      <c r="K24" s="166"/>
      <c r="L24" s="156"/>
      <c r="M24" s="166"/>
      <c r="N24" s="235">
        <f t="shared" si="7"/>
        <v>1429.74</v>
      </c>
      <c r="O24" s="236">
        <v>6</v>
      </c>
      <c r="P24" s="156"/>
      <c r="Q24" s="166"/>
      <c r="R24" s="156"/>
      <c r="S24" s="166"/>
      <c r="T24" s="232">
        <f t="shared" si="8"/>
        <v>1429.74</v>
      </c>
      <c r="U24" s="233">
        <v>6</v>
      </c>
      <c r="V24" s="156"/>
      <c r="W24" s="166"/>
      <c r="X24" s="156"/>
      <c r="Y24" s="166"/>
      <c r="Z24" s="156"/>
      <c r="AA24" s="166"/>
      <c r="AB24" s="221">
        <f t="shared" si="3"/>
        <v>5004.09</v>
      </c>
      <c r="AC24" s="224">
        <f t="shared" si="4"/>
        <v>21</v>
      </c>
      <c r="AD24" s="188"/>
    </row>
    <row r="25" spans="1:30" s="145" customFormat="1" ht="15">
      <c r="A25" s="153" t="str">
        <f>Orcamento!A24</f>
        <v>1.4.2.3</v>
      </c>
      <c r="B25" s="154" t="str">
        <f>Orcamento!D24</f>
        <v>Esclerometria</v>
      </c>
      <c r="C25" s="155">
        <f>Orcamento!I24</f>
        <v>119.14</v>
      </c>
      <c r="D25" s="255">
        <f t="shared" si="5"/>
        <v>476.56</v>
      </c>
      <c r="E25" s="256">
        <v>4</v>
      </c>
      <c r="F25" s="156"/>
      <c r="G25" s="166"/>
      <c r="H25" s="243">
        <f t="shared" si="6"/>
        <v>953.12</v>
      </c>
      <c r="I25" s="244">
        <v>8</v>
      </c>
      <c r="J25" s="156"/>
      <c r="K25" s="166"/>
      <c r="L25" s="156"/>
      <c r="M25" s="166"/>
      <c r="N25" s="235">
        <f t="shared" si="7"/>
        <v>953.12</v>
      </c>
      <c r="O25" s="236">
        <v>8</v>
      </c>
      <c r="P25" s="156"/>
      <c r="Q25" s="166"/>
      <c r="R25" s="156"/>
      <c r="S25" s="166"/>
      <c r="T25" s="232">
        <f t="shared" si="8"/>
        <v>953.12</v>
      </c>
      <c r="U25" s="233">
        <v>8</v>
      </c>
      <c r="V25" s="156"/>
      <c r="W25" s="166"/>
      <c r="X25" s="156"/>
      <c r="Y25" s="166"/>
      <c r="Z25" s="156"/>
      <c r="AA25" s="166"/>
      <c r="AB25" s="221">
        <f t="shared" si="3"/>
        <v>3335.92</v>
      </c>
      <c r="AC25" s="224">
        <f t="shared" si="4"/>
        <v>28</v>
      </c>
      <c r="AD25" s="188"/>
    </row>
    <row r="26" spans="1:30" s="145" customFormat="1" ht="15">
      <c r="A26" s="153" t="str">
        <f>Orcamento!A25</f>
        <v>1.4.2.4</v>
      </c>
      <c r="B26" s="154" t="str">
        <f>Orcamento!D25</f>
        <v>Ultrassom</v>
      </c>
      <c r="C26" s="155">
        <f>Orcamento!I25</f>
        <v>178.71</v>
      </c>
      <c r="D26" s="255">
        <f t="shared" si="5"/>
        <v>178.71</v>
      </c>
      <c r="E26" s="256">
        <v>1</v>
      </c>
      <c r="F26" s="156"/>
      <c r="G26" s="166"/>
      <c r="H26" s="243">
        <f t="shared" si="6"/>
        <v>357.42</v>
      </c>
      <c r="I26" s="244">
        <v>2</v>
      </c>
      <c r="J26" s="156"/>
      <c r="K26" s="166"/>
      <c r="L26" s="156"/>
      <c r="M26" s="166"/>
      <c r="N26" s="235">
        <f t="shared" si="7"/>
        <v>357.42</v>
      </c>
      <c r="O26" s="236">
        <v>2</v>
      </c>
      <c r="P26" s="156"/>
      <c r="Q26" s="166"/>
      <c r="R26" s="156"/>
      <c r="S26" s="166"/>
      <c r="T26" s="232">
        <f t="shared" si="8"/>
        <v>357.42</v>
      </c>
      <c r="U26" s="233">
        <v>2</v>
      </c>
      <c r="V26" s="156"/>
      <c r="W26" s="166"/>
      <c r="X26" s="156"/>
      <c r="Y26" s="166"/>
      <c r="Z26" s="156"/>
      <c r="AA26" s="166"/>
      <c r="AB26" s="221">
        <f t="shared" si="3"/>
        <v>1250.97</v>
      </c>
      <c r="AC26" s="224">
        <f t="shared" si="4"/>
        <v>7</v>
      </c>
      <c r="AD26" s="188"/>
    </row>
    <row r="27" spans="1:30" s="145" customFormat="1" ht="15">
      <c r="A27" s="153" t="str">
        <f>Orcamento!A26</f>
        <v>1.4.2.5</v>
      </c>
      <c r="B27" s="154" t="str">
        <f>Orcamento!D26</f>
        <v>Profundidade de carbonatação</v>
      </c>
      <c r="C27" s="155">
        <f>Orcamento!I26</f>
        <v>297.86</v>
      </c>
      <c r="D27" s="255">
        <f t="shared" si="5"/>
        <v>595.72</v>
      </c>
      <c r="E27" s="256">
        <v>2</v>
      </c>
      <c r="F27" s="156"/>
      <c r="G27" s="166"/>
      <c r="H27" s="243">
        <f t="shared" si="6"/>
        <v>1191.44</v>
      </c>
      <c r="I27" s="244">
        <v>4</v>
      </c>
      <c r="J27" s="156"/>
      <c r="K27" s="166"/>
      <c r="L27" s="156"/>
      <c r="M27" s="166"/>
      <c r="N27" s="235">
        <f t="shared" si="7"/>
        <v>1191.44</v>
      </c>
      <c r="O27" s="236">
        <v>4</v>
      </c>
      <c r="P27" s="156"/>
      <c r="Q27" s="166"/>
      <c r="R27" s="156"/>
      <c r="S27" s="166"/>
      <c r="T27" s="232">
        <f t="shared" si="8"/>
        <v>1191.44</v>
      </c>
      <c r="U27" s="233">
        <v>4</v>
      </c>
      <c r="V27" s="156"/>
      <c r="W27" s="166"/>
      <c r="X27" s="156"/>
      <c r="Y27" s="166"/>
      <c r="Z27" s="156"/>
      <c r="AA27" s="166"/>
      <c r="AB27" s="221">
        <f t="shared" si="3"/>
        <v>4170.040000000001</v>
      </c>
      <c r="AC27" s="224">
        <f t="shared" si="4"/>
        <v>14</v>
      </c>
      <c r="AD27" s="188"/>
    </row>
    <row r="28" spans="1:30" s="145" customFormat="1" ht="15">
      <c r="A28" s="153" t="str">
        <f>Orcamento!A27</f>
        <v>1.4.2.6</v>
      </c>
      <c r="B28" s="154" t="str">
        <f>Orcamento!D27</f>
        <v>Concentração de cloretos</v>
      </c>
      <c r="C28" s="155">
        <f>Orcamento!I27</f>
        <v>198.56</v>
      </c>
      <c r="D28" s="255">
        <f t="shared" si="5"/>
        <v>397.12</v>
      </c>
      <c r="E28" s="256">
        <v>2</v>
      </c>
      <c r="F28" s="156"/>
      <c r="G28" s="166"/>
      <c r="H28" s="243">
        <f t="shared" si="6"/>
        <v>794.24</v>
      </c>
      <c r="I28" s="244">
        <v>4</v>
      </c>
      <c r="J28" s="156"/>
      <c r="K28" s="166"/>
      <c r="L28" s="156"/>
      <c r="M28" s="166"/>
      <c r="N28" s="235">
        <f t="shared" si="7"/>
        <v>794.24</v>
      </c>
      <c r="O28" s="236">
        <v>4</v>
      </c>
      <c r="P28" s="156"/>
      <c r="Q28" s="166"/>
      <c r="R28" s="156"/>
      <c r="S28" s="166"/>
      <c r="T28" s="232">
        <f t="shared" si="8"/>
        <v>794.24</v>
      </c>
      <c r="U28" s="233">
        <v>4</v>
      </c>
      <c r="V28" s="156"/>
      <c r="W28" s="166"/>
      <c r="X28" s="156"/>
      <c r="Y28" s="166"/>
      <c r="Z28" s="156"/>
      <c r="AA28" s="166"/>
      <c r="AB28" s="221">
        <f t="shared" si="3"/>
        <v>2779.84</v>
      </c>
      <c r="AC28" s="224">
        <f t="shared" si="4"/>
        <v>14</v>
      </c>
      <c r="AD28" s="188"/>
    </row>
    <row r="29" spans="1:30" s="145" customFormat="1" ht="15">
      <c r="A29" s="153" t="str">
        <f>Orcamento!A28</f>
        <v>1.4.2.7</v>
      </c>
      <c r="B29" s="154" t="str">
        <f>Orcamento!D28</f>
        <v>Porosidade</v>
      </c>
      <c r="C29" s="155">
        <f>Orcamento!I28</f>
        <v>198.56</v>
      </c>
      <c r="D29" s="255">
        <f t="shared" si="5"/>
        <v>397.12</v>
      </c>
      <c r="E29" s="256">
        <v>2</v>
      </c>
      <c r="F29" s="156"/>
      <c r="G29" s="166"/>
      <c r="H29" s="243">
        <f t="shared" si="6"/>
        <v>794.24</v>
      </c>
      <c r="I29" s="244">
        <v>4</v>
      </c>
      <c r="J29" s="156"/>
      <c r="K29" s="166"/>
      <c r="L29" s="156"/>
      <c r="M29" s="166"/>
      <c r="N29" s="235">
        <f t="shared" si="7"/>
        <v>794.24</v>
      </c>
      <c r="O29" s="236">
        <v>4</v>
      </c>
      <c r="P29" s="156"/>
      <c r="Q29" s="166"/>
      <c r="R29" s="156"/>
      <c r="S29" s="166"/>
      <c r="T29" s="232">
        <f t="shared" si="8"/>
        <v>794.24</v>
      </c>
      <c r="U29" s="233">
        <v>4</v>
      </c>
      <c r="V29" s="156"/>
      <c r="W29" s="166"/>
      <c r="X29" s="156"/>
      <c r="Y29" s="166"/>
      <c r="Z29" s="156"/>
      <c r="AA29" s="166"/>
      <c r="AB29" s="221">
        <f t="shared" si="3"/>
        <v>2779.84</v>
      </c>
      <c r="AC29" s="224">
        <f t="shared" si="4"/>
        <v>14</v>
      </c>
      <c r="AD29" s="188"/>
    </row>
    <row r="30" spans="1:30" s="145" customFormat="1" ht="28.5">
      <c r="A30" s="153" t="str">
        <f>Orcamento!A29</f>
        <v>1.4.2.8</v>
      </c>
      <c r="B30" s="154" t="str">
        <f>Orcamento!D29</f>
        <v>Extração Corpo de Prova e Ensaio de Resistencia a Compressão</v>
      </c>
      <c r="C30" s="155">
        <f>Orcamento!I29</f>
        <v>380.91</v>
      </c>
      <c r="D30" s="255">
        <f t="shared" si="5"/>
        <v>761.82</v>
      </c>
      <c r="E30" s="256">
        <v>2</v>
      </c>
      <c r="F30" s="156"/>
      <c r="G30" s="166"/>
      <c r="H30" s="243">
        <f t="shared" si="6"/>
        <v>1523.64</v>
      </c>
      <c r="I30" s="244">
        <v>4</v>
      </c>
      <c r="J30" s="156"/>
      <c r="K30" s="166"/>
      <c r="L30" s="156"/>
      <c r="M30" s="166"/>
      <c r="N30" s="235">
        <f t="shared" si="7"/>
        <v>1523.64</v>
      </c>
      <c r="O30" s="236">
        <v>4</v>
      </c>
      <c r="P30" s="156"/>
      <c r="Q30" s="166"/>
      <c r="R30" s="156"/>
      <c r="S30" s="166"/>
      <c r="T30" s="232">
        <f t="shared" si="8"/>
        <v>1523.64</v>
      </c>
      <c r="U30" s="233">
        <v>4</v>
      </c>
      <c r="V30" s="156"/>
      <c r="W30" s="166"/>
      <c r="X30" s="156"/>
      <c r="Y30" s="166"/>
      <c r="Z30" s="156"/>
      <c r="AA30" s="166"/>
      <c r="AB30" s="221">
        <f t="shared" si="3"/>
        <v>5332.740000000001</v>
      </c>
      <c r="AC30" s="224">
        <f t="shared" si="4"/>
        <v>14</v>
      </c>
      <c r="AD30" s="188"/>
    </row>
    <row r="31" spans="1:30" s="145" customFormat="1" ht="15">
      <c r="A31" s="153" t="str">
        <f>Orcamento!A30</f>
        <v>1.4.2.9</v>
      </c>
      <c r="B31" s="154" t="str">
        <f>Orcamento!D30</f>
        <v>Reação álcalis-agregado</v>
      </c>
      <c r="C31" s="155">
        <f>Orcamento!I30</f>
        <v>198.56</v>
      </c>
      <c r="D31" s="255">
        <f t="shared" si="5"/>
        <v>397.12</v>
      </c>
      <c r="E31" s="256">
        <v>2</v>
      </c>
      <c r="F31" s="156"/>
      <c r="G31" s="166"/>
      <c r="H31" s="243">
        <f t="shared" si="6"/>
        <v>794.24</v>
      </c>
      <c r="I31" s="244">
        <v>4</v>
      </c>
      <c r="J31" s="156"/>
      <c r="K31" s="166"/>
      <c r="L31" s="156"/>
      <c r="M31" s="166"/>
      <c r="N31" s="235">
        <f t="shared" si="7"/>
        <v>794.24</v>
      </c>
      <c r="O31" s="236">
        <v>4</v>
      </c>
      <c r="P31" s="156"/>
      <c r="Q31" s="166"/>
      <c r="R31" s="156"/>
      <c r="S31" s="166"/>
      <c r="T31" s="232">
        <f t="shared" si="8"/>
        <v>794.24</v>
      </c>
      <c r="U31" s="233">
        <v>4</v>
      </c>
      <c r="V31" s="156"/>
      <c r="W31" s="166"/>
      <c r="X31" s="156"/>
      <c r="Y31" s="166"/>
      <c r="Z31" s="156"/>
      <c r="AA31" s="166"/>
      <c r="AB31" s="221">
        <f t="shared" si="3"/>
        <v>2779.84</v>
      </c>
      <c r="AC31" s="224">
        <f t="shared" si="4"/>
        <v>14</v>
      </c>
      <c r="AD31" s="188"/>
    </row>
    <row r="32" spans="1:30" s="145" customFormat="1" ht="15">
      <c r="A32" s="153" t="str">
        <f>Orcamento!A31</f>
        <v>1.4.2.10</v>
      </c>
      <c r="B32" s="154" t="str">
        <f>Orcamento!D31</f>
        <v>Pacometria</v>
      </c>
      <c r="C32" s="155">
        <f>Orcamento!I31</f>
        <v>119.14</v>
      </c>
      <c r="D32" s="255">
        <f t="shared" si="5"/>
        <v>714.84</v>
      </c>
      <c r="E32" s="256">
        <v>6</v>
      </c>
      <c r="F32" s="156"/>
      <c r="G32" s="166"/>
      <c r="H32" s="243">
        <f t="shared" si="6"/>
        <v>1429.68</v>
      </c>
      <c r="I32" s="244">
        <v>12</v>
      </c>
      <c r="J32" s="156"/>
      <c r="K32" s="166"/>
      <c r="L32" s="156"/>
      <c r="M32" s="166"/>
      <c r="N32" s="235">
        <f t="shared" si="7"/>
        <v>1429.68</v>
      </c>
      <c r="O32" s="236">
        <v>12</v>
      </c>
      <c r="P32" s="156"/>
      <c r="Q32" s="166"/>
      <c r="R32" s="156"/>
      <c r="S32" s="166"/>
      <c r="T32" s="232">
        <f t="shared" si="8"/>
        <v>1429.68</v>
      </c>
      <c r="U32" s="233">
        <v>12</v>
      </c>
      <c r="V32" s="156"/>
      <c r="W32" s="166"/>
      <c r="X32" s="156"/>
      <c r="Y32" s="166"/>
      <c r="Z32" s="156"/>
      <c r="AA32" s="166"/>
      <c r="AB32" s="221">
        <f t="shared" si="3"/>
        <v>5003.88</v>
      </c>
      <c r="AC32" s="224">
        <f t="shared" si="4"/>
        <v>42</v>
      </c>
      <c r="AD32" s="188"/>
    </row>
    <row r="33" spans="1:30" s="145" customFormat="1" ht="15">
      <c r="A33" s="153" t="str">
        <f>Orcamento!A32</f>
        <v>1.4.2.11</v>
      </c>
      <c r="B33" s="154" t="str">
        <f>Orcamento!D32</f>
        <v>Potencial de Corrosão</v>
      </c>
      <c r="C33" s="155">
        <f>Orcamento!I32</f>
        <v>297.86</v>
      </c>
      <c r="D33" s="255">
        <f t="shared" si="5"/>
        <v>297.86</v>
      </c>
      <c r="E33" s="256">
        <v>1</v>
      </c>
      <c r="F33" s="156"/>
      <c r="G33" s="166"/>
      <c r="H33" s="243">
        <f t="shared" si="6"/>
        <v>595.72</v>
      </c>
      <c r="I33" s="244">
        <v>2</v>
      </c>
      <c r="J33" s="156"/>
      <c r="K33" s="166"/>
      <c r="L33" s="156"/>
      <c r="M33" s="166"/>
      <c r="N33" s="235">
        <f t="shared" si="7"/>
        <v>595.72</v>
      </c>
      <c r="O33" s="236">
        <v>2</v>
      </c>
      <c r="P33" s="156"/>
      <c r="Q33" s="166"/>
      <c r="R33" s="156"/>
      <c r="S33" s="166"/>
      <c r="T33" s="232">
        <f t="shared" si="8"/>
        <v>595.72</v>
      </c>
      <c r="U33" s="233">
        <v>2</v>
      </c>
      <c r="V33" s="156"/>
      <c r="W33" s="166"/>
      <c r="X33" s="156"/>
      <c r="Y33" s="166"/>
      <c r="Z33" s="156"/>
      <c r="AA33" s="166"/>
      <c r="AB33" s="221">
        <f t="shared" si="3"/>
        <v>2085.0200000000004</v>
      </c>
      <c r="AC33" s="224">
        <f t="shared" si="4"/>
        <v>7</v>
      </c>
      <c r="AD33" s="188"/>
    </row>
    <row r="34" spans="1:30" s="145" customFormat="1" ht="15">
      <c r="A34" s="153" t="str">
        <f>Orcamento!A33</f>
        <v>1.5</v>
      </c>
      <c r="B34" s="154" t="str">
        <f>Orcamento!D33</f>
        <v>Diretrizes de Regularização e Licenciamento</v>
      </c>
      <c r="C34" s="155">
        <f>Orcamento!I33</f>
        <v>2435.06</v>
      </c>
      <c r="D34" s="156"/>
      <c r="E34" s="166"/>
      <c r="F34" s="156"/>
      <c r="G34" s="166"/>
      <c r="H34" s="156"/>
      <c r="I34" s="166"/>
      <c r="J34" s="247">
        <f>TRUNC($C34*K34,2)</f>
        <v>2435.06</v>
      </c>
      <c r="K34" s="248">
        <v>1</v>
      </c>
      <c r="L34" s="157"/>
      <c r="M34" s="158"/>
      <c r="N34" s="156"/>
      <c r="O34" s="166"/>
      <c r="P34" s="239">
        <f>TRUNC($C34*Q34,2)</f>
        <v>2435.06</v>
      </c>
      <c r="Q34" s="240">
        <v>1</v>
      </c>
      <c r="R34" s="156"/>
      <c r="S34" s="166"/>
      <c r="T34" s="156"/>
      <c r="U34" s="166"/>
      <c r="V34" s="227">
        <f>TRUNC($C34*W34,2)</f>
        <v>2435.06</v>
      </c>
      <c r="W34" s="228">
        <v>1</v>
      </c>
      <c r="X34" s="156"/>
      <c r="Y34" s="166"/>
      <c r="Z34" s="156"/>
      <c r="AA34" s="166"/>
      <c r="AB34" s="212">
        <f>D34+F34+H34+J34+L34+N34+P34+R34+T34+V34+X34+Z34</f>
        <v>7305.18</v>
      </c>
      <c r="AC34" s="224">
        <f t="shared" si="2"/>
        <v>3</v>
      </c>
      <c r="AD34" s="188"/>
    </row>
    <row r="35" spans="1:30" s="145" customFormat="1" ht="28.5">
      <c r="A35" s="153" t="str">
        <f>Orcamento!A34</f>
        <v>1.6</v>
      </c>
      <c r="B35" s="154" t="str">
        <f>Orcamento!D34</f>
        <v>Cadastro Redes de Abastecimento e de Infraestrutura (DEP/DMAE/PROCEMPA/CEEE)</v>
      </c>
      <c r="C35" s="155">
        <f>Orcamento!I34</f>
        <v>3695.03</v>
      </c>
      <c r="D35" s="156"/>
      <c r="E35" s="166"/>
      <c r="F35" s="156"/>
      <c r="G35" s="166"/>
      <c r="H35" s="156"/>
      <c r="I35" s="166"/>
      <c r="J35" s="247">
        <f>TRUNC($C35*K35,2)</f>
        <v>3695.03</v>
      </c>
      <c r="K35" s="248">
        <v>1</v>
      </c>
      <c r="L35" s="157"/>
      <c r="M35" s="158"/>
      <c r="N35" s="156"/>
      <c r="O35" s="166"/>
      <c r="P35" s="239">
        <f>TRUNC($C35*Q35,2)</f>
        <v>3695.03</v>
      </c>
      <c r="Q35" s="240">
        <v>1</v>
      </c>
      <c r="R35" s="156"/>
      <c r="S35" s="166"/>
      <c r="T35" s="156"/>
      <c r="U35" s="166"/>
      <c r="V35" s="227">
        <f>TRUNC($C35*W35,2)</f>
        <v>3695.03</v>
      </c>
      <c r="W35" s="228">
        <v>1</v>
      </c>
      <c r="X35" s="156"/>
      <c r="Y35" s="166"/>
      <c r="Z35" s="156"/>
      <c r="AA35" s="166"/>
      <c r="AB35" s="212">
        <f>D35+F35+H35+J35+L35+N35+P35+R35+T35+V35+X35+Z35</f>
        <v>11085.09</v>
      </c>
      <c r="AC35" s="224">
        <f t="shared" si="2"/>
        <v>3</v>
      </c>
      <c r="AD35" s="188"/>
    </row>
    <row r="36" spans="1:31" s="152" customFormat="1" ht="15">
      <c r="A36" s="147">
        <f>Orcamento!A35</f>
        <v>2</v>
      </c>
      <c r="B36" s="147" t="str">
        <f>Orcamento!D35</f>
        <v>Laudo Técnico</v>
      </c>
      <c r="C36" s="148"/>
      <c r="D36" s="149"/>
      <c r="E36" s="167"/>
      <c r="F36" s="149"/>
      <c r="G36" s="150"/>
      <c r="H36" s="149"/>
      <c r="I36" s="150"/>
      <c r="J36" s="149"/>
      <c r="K36" s="150"/>
      <c r="L36" s="149"/>
      <c r="M36" s="150"/>
      <c r="N36" s="149"/>
      <c r="O36" s="150"/>
      <c r="P36" s="149"/>
      <c r="Q36" s="150"/>
      <c r="R36" s="149"/>
      <c r="S36" s="150"/>
      <c r="T36" s="149"/>
      <c r="U36" s="150"/>
      <c r="V36" s="149"/>
      <c r="W36" s="150"/>
      <c r="X36" s="150"/>
      <c r="Y36" s="150"/>
      <c r="Z36" s="149"/>
      <c r="AA36" s="150"/>
      <c r="AB36" s="214"/>
      <c r="AC36" s="213"/>
      <c r="AD36" s="188"/>
      <c r="AE36" s="145"/>
    </row>
    <row r="37" spans="1:30" s="145" customFormat="1" ht="15">
      <c r="A37" s="153" t="str">
        <f>Orcamento!A36</f>
        <v>2.1</v>
      </c>
      <c r="B37" s="154" t="str">
        <f>Orcamento!D36</f>
        <v>Laudo Técnico - Estrutura</v>
      </c>
      <c r="C37" s="155">
        <f>Orcamento!I36</f>
        <v>2.48</v>
      </c>
      <c r="D37" s="156"/>
      <c r="E37" s="166"/>
      <c r="F37" s="255">
        <f>TRUNC($C37*G37,2)</f>
        <v>4199.88</v>
      </c>
      <c r="G37" s="256">
        <f>Quantitativo!$D$18</f>
        <v>1693.5</v>
      </c>
      <c r="H37" s="156"/>
      <c r="I37" s="166"/>
      <c r="J37" s="243">
        <f>TRUNC($C37*K37,2)</f>
        <v>4029.55</v>
      </c>
      <c r="K37" s="244">
        <f>Quantitativo!$D$10+Quantitativo!$D$12</f>
        <v>1624.82</v>
      </c>
      <c r="L37" s="156"/>
      <c r="M37" s="166"/>
      <c r="N37" s="156"/>
      <c r="O37" s="166"/>
      <c r="P37" s="235">
        <f>TRUNC($C37*Q37,2)</f>
        <v>6973.71</v>
      </c>
      <c r="Q37" s="236">
        <f>Quantitativo!$D$13+Quantitativo!$D$19</f>
        <v>2811.98</v>
      </c>
      <c r="R37" s="156"/>
      <c r="S37" s="166"/>
      <c r="T37" s="156"/>
      <c r="U37" s="166"/>
      <c r="V37" s="232">
        <f>TRUNC($C37*W37,2)</f>
        <v>4173.79</v>
      </c>
      <c r="W37" s="233">
        <f>Quantitativo!$D$14+Quantitativo!$D$16</f>
        <v>1682.98</v>
      </c>
      <c r="X37" s="156"/>
      <c r="Y37" s="166"/>
      <c r="Z37" s="156"/>
      <c r="AA37" s="166"/>
      <c r="AB37" s="212">
        <f>D37+F37+H37+J37+L37+N37+P37+R37+T37+V37+X37+Z37</f>
        <v>19376.93</v>
      </c>
      <c r="AC37" s="213">
        <f t="shared" si="2"/>
        <v>7813.279999999999</v>
      </c>
      <c r="AD37" s="188"/>
    </row>
    <row r="38" spans="1:30" s="145" customFormat="1" ht="15">
      <c r="A38" s="153" t="str">
        <f>Orcamento!A37</f>
        <v>2.2</v>
      </c>
      <c r="B38" s="154" t="str">
        <f>Orcamento!D37</f>
        <v>Laudo Técnico - Alvenarias / Fechamentos</v>
      </c>
      <c r="C38" s="155">
        <f>Orcamento!I37</f>
        <v>2.48</v>
      </c>
      <c r="D38" s="156"/>
      <c r="E38" s="166"/>
      <c r="F38" s="255">
        <f>TRUNC($C38*G38,2)</f>
        <v>4199.88</v>
      </c>
      <c r="G38" s="256">
        <f>Quantitativo!$D$18</f>
        <v>1693.5</v>
      </c>
      <c r="H38" s="156"/>
      <c r="I38" s="166"/>
      <c r="J38" s="243">
        <f>TRUNC($C38*K38,2)</f>
        <v>4029.55</v>
      </c>
      <c r="K38" s="244">
        <f>Quantitativo!$D$10+Quantitativo!$D$12</f>
        <v>1624.82</v>
      </c>
      <c r="L38" s="156"/>
      <c r="M38" s="166"/>
      <c r="N38" s="156"/>
      <c r="O38" s="166"/>
      <c r="P38" s="235">
        <f>TRUNC($C38*Q38,2)</f>
        <v>6973.71</v>
      </c>
      <c r="Q38" s="236">
        <f>Quantitativo!$D$13+Quantitativo!$D$19</f>
        <v>2811.98</v>
      </c>
      <c r="R38" s="156"/>
      <c r="S38" s="166"/>
      <c r="T38" s="156"/>
      <c r="U38" s="166"/>
      <c r="V38" s="232">
        <f>TRUNC($C38*W38,2)</f>
        <v>4173.79</v>
      </c>
      <c r="W38" s="233">
        <f>Quantitativo!$D$14+Quantitativo!$D$16</f>
        <v>1682.98</v>
      </c>
      <c r="X38" s="156"/>
      <c r="Y38" s="166"/>
      <c r="Z38" s="156"/>
      <c r="AA38" s="166"/>
      <c r="AB38" s="212">
        <f>D38+F38+H38+J38+L38+N38+P38+R38+T38+V38+X38+Z38</f>
        <v>19376.93</v>
      </c>
      <c r="AC38" s="213">
        <f t="shared" si="2"/>
        <v>7813.279999999999</v>
      </c>
      <c r="AD38" s="188"/>
    </row>
    <row r="39" spans="1:30" s="145" customFormat="1" ht="15">
      <c r="A39" s="153" t="str">
        <f>Orcamento!A38</f>
        <v>2.3</v>
      </c>
      <c r="B39" s="154" t="str">
        <f>Orcamento!D38</f>
        <v>Laudo Técnico - Cobertura</v>
      </c>
      <c r="C39" s="155">
        <f>Orcamento!I38</f>
        <v>2.48</v>
      </c>
      <c r="D39" s="156"/>
      <c r="E39" s="166"/>
      <c r="F39" s="255">
        <f>TRUNC($C39*G39,2)</f>
        <v>4199.88</v>
      </c>
      <c r="G39" s="256">
        <f>Quantitativo!$D$18</f>
        <v>1693.5</v>
      </c>
      <c r="H39" s="156"/>
      <c r="I39" s="166"/>
      <c r="J39" s="243">
        <f>TRUNC($C39*K39,2)</f>
        <v>4029.55</v>
      </c>
      <c r="K39" s="244">
        <f>Quantitativo!$D$10+Quantitativo!$D$12</f>
        <v>1624.82</v>
      </c>
      <c r="L39" s="156"/>
      <c r="M39" s="166"/>
      <c r="N39" s="156"/>
      <c r="O39" s="166"/>
      <c r="P39" s="235">
        <f>TRUNC($C39*Q39,2)</f>
        <v>6973.71</v>
      </c>
      <c r="Q39" s="236">
        <f>Quantitativo!$D$13+Quantitativo!$D$19</f>
        <v>2811.98</v>
      </c>
      <c r="R39" s="156"/>
      <c r="S39" s="166"/>
      <c r="T39" s="156"/>
      <c r="U39" s="166"/>
      <c r="V39" s="232">
        <f>TRUNC($C39*W39,2)</f>
        <v>4173.79</v>
      </c>
      <c r="W39" s="233">
        <f>Quantitativo!$D$14+Quantitativo!$D$16</f>
        <v>1682.98</v>
      </c>
      <c r="X39" s="156"/>
      <c r="Y39" s="166"/>
      <c r="Z39" s="156"/>
      <c r="AA39" s="166"/>
      <c r="AB39" s="212">
        <f>D39+F39+H39+J39+L39+N39+P39+R39+T39+V39+X39+Z39</f>
        <v>19376.93</v>
      </c>
      <c r="AC39" s="213">
        <f t="shared" si="2"/>
        <v>7813.279999999999</v>
      </c>
      <c r="AD39" s="188"/>
    </row>
    <row r="40" spans="1:30" s="145" customFormat="1" ht="15">
      <c r="A40" s="153" t="str">
        <f>Orcamento!A39</f>
        <v>2.4</v>
      </c>
      <c r="B40" s="154" t="str">
        <f>Orcamento!D39</f>
        <v>Laudo Técnico - Hidrossanitário</v>
      </c>
      <c r="C40" s="155">
        <f>Orcamento!I39</f>
        <v>2.48</v>
      </c>
      <c r="D40" s="156"/>
      <c r="E40" s="166"/>
      <c r="F40" s="255">
        <f>TRUNC($C40*G40,2)</f>
        <v>4199.88</v>
      </c>
      <c r="G40" s="256">
        <f>Quantitativo!$D$18</f>
        <v>1693.5</v>
      </c>
      <c r="H40" s="156"/>
      <c r="I40" s="166"/>
      <c r="J40" s="243">
        <f>TRUNC($C40*K40,2)</f>
        <v>4029.55</v>
      </c>
      <c r="K40" s="244">
        <f>Quantitativo!$D$10+Quantitativo!$D$12</f>
        <v>1624.82</v>
      </c>
      <c r="L40" s="156"/>
      <c r="M40" s="166"/>
      <c r="N40" s="156"/>
      <c r="O40" s="166"/>
      <c r="P40" s="235">
        <f>TRUNC($C40*Q40,2)</f>
        <v>6973.71</v>
      </c>
      <c r="Q40" s="236">
        <f>Quantitativo!$D$13+Quantitativo!$D$19</f>
        <v>2811.98</v>
      </c>
      <c r="R40" s="156"/>
      <c r="S40" s="166"/>
      <c r="T40" s="156"/>
      <c r="U40" s="166"/>
      <c r="V40" s="232">
        <f>TRUNC($C40*W40,2)</f>
        <v>4173.79</v>
      </c>
      <c r="W40" s="233">
        <f>Quantitativo!$D$14+Quantitativo!$D$16</f>
        <v>1682.98</v>
      </c>
      <c r="X40" s="156"/>
      <c r="Y40" s="166"/>
      <c r="Z40" s="156"/>
      <c r="AA40" s="166"/>
      <c r="AB40" s="212">
        <f>D40+F40+H40+J40+L40+N40+P40+R40+T40+V40+X40+Z40</f>
        <v>19376.93</v>
      </c>
      <c r="AC40" s="213">
        <f t="shared" si="2"/>
        <v>7813.279999999999</v>
      </c>
      <c r="AD40" s="188"/>
    </row>
    <row r="41" spans="1:30" s="145" customFormat="1" ht="15">
      <c r="A41" s="153" t="str">
        <f>Orcamento!A40</f>
        <v>2.5</v>
      </c>
      <c r="B41" s="154" t="str">
        <f>Orcamento!D40</f>
        <v>Laudo Técnico - Elétrico</v>
      </c>
      <c r="C41" s="155">
        <f>Orcamento!I40</f>
        <v>2.48</v>
      </c>
      <c r="D41" s="156"/>
      <c r="E41" s="166"/>
      <c r="F41" s="255">
        <f>TRUNC($C41*G41,2)</f>
        <v>4199.88</v>
      </c>
      <c r="G41" s="256">
        <f>Quantitativo!$D$18</f>
        <v>1693.5</v>
      </c>
      <c r="H41" s="156"/>
      <c r="I41" s="166"/>
      <c r="J41" s="243">
        <f>TRUNC($C41*K41,2)</f>
        <v>4029.55</v>
      </c>
      <c r="K41" s="244">
        <f>Quantitativo!$D$10+Quantitativo!$D$12</f>
        <v>1624.82</v>
      </c>
      <c r="L41" s="156"/>
      <c r="M41" s="166"/>
      <c r="N41" s="156"/>
      <c r="O41" s="166"/>
      <c r="P41" s="235">
        <f>TRUNC($C41*Q41,2)</f>
        <v>6973.71</v>
      </c>
      <c r="Q41" s="236">
        <f>Quantitativo!$D$13+Quantitativo!$D$19</f>
        <v>2811.98</v>
      </c>
      <c r="R41" s="156"/>
      <c r="S41" s="166"/>
      <c r="T41" s="156"/>
      <c r="U41" s="166"/>
      <c r="V41" s="232">
        <f>TRUNC($C41*W41,2)</f>
        <v>4173.79</v>
      </c>
      <c r="W41" s="233">
        <f>Quantitativo!$D$14+Quantitativo!$D$16</f>
        <v>1682.98</v>
      </c>
      <c r="X41" s="156"/>
      <c r="Y41" s="166"/>
      <c r="Z41" s="156"/>
      <c r="AA41" s="166"/>
      <c r="AB41" s="212">
        <f>D41+F41+H41+J41+L41+N41+P41+R41+T41+V41+X41+Z41</f>
        <v>19376.93</v>
      </c>
      <c r="AC41" s="213">
        <f t="shared" si="2"/>
        <v>7813.279999999999</v>
      </c>
      <c r="AD41" s="188"/>
    </row>
    <row r="42" spans="1:31" s="152" customFormat="1" ht="15">
      <c r="A42" s="147">
        <f>Orcamento!A41</f>
        <v>3</v>
      </c>
      <c r="B42" s="147" t="str">
        <f>Orcamento!D41</f>
        <v>Solicitações Legais e Licenciamento</v>
      </c>
      <c r="C42" s="148"/>
      <c r="D42" s="149"/>
      <c r="E42" s="167"/>
      <c r="F42" s="149"/>
      <c r="G42" s="150"/>
      <c r="H42" s="149"/>
      <c r="I42" s="150"/>
      <c r="J42" s="149"/>
      <c r="K42" s="150"/>
      <c r="L42" s="149"/>
      <c r="M42" s="150"/>
      <c r="N42" s="149"/>
      <c r="O42" s="150"/>
      <c r="P42" s="149"/>
      <c r="Q42" s="150"/>
      <c r="R42" s="149"/>
      <c r="S42" s="150"/>
      <c r="T42" s="149"/>
      <c r="U42" s="150"/>
      <c r="V42" s="149"/>
      <c r="W42" s="150"/>
      <c r="X42" s="150"/>
      <c r="Y42" s="150"/>
      <c r="Z42" s="149"/>
      <c r="AA42" s="150"/>
      <c r="AB42" s="214"/>
      <c r="AC42" s="213"/>
      <c r="AD42" s="188"/>
      <c r="AE42" s="145"/>
    </row>
    <row r="43" spans="1:30" s="145" customFormat="1" ht="15">
      <c r="A43" s="153" t="str">
        <f>Orcamento!A42</f>
        <v>3.1</v>
      </c>
      <c r="B43" s="154" t="str">
        <f>Orcamento!D42</f>
        <v>Estudo de Viabilidade Urbanística</v>
      </c>
      <c r="C43" s="155">
        <f>Orcamento!I42</f>
        <v>2.13</v>
      </c>
      <c r="D43" s="156"/>
      <c r="E43" s="166"/>
      <c r="F43" s="156"/>
      <c r="G43" s="166"/>
      <c r="H43" s="156"/>
      <c r="I43" s="166"/>
      <c r="J43" s="156"/>
      <c r="K43" s="166"/>
      <c r="L43" s="247">
        <f>TRUNC($C43*M43,2)</f>
        <v>1202.38</v>
      </c>
      <c r="M43" s="248">
        <f>Quantitativo!$D$15</f>
        <v>564.5</v>
      </c>
      <c r="N43" s="156"/>
      <c r="O43" s="166"/>
      <c r="P43" s="156"/>
      <c r="Q43" s="166"/>
      <c r="R43" s="239">
        <f>TRUNC($C43*S43,2)</f>
        <v>2382.36</v>
      </c>
      <c r="S43" s="240">
        <f>Quantitativo!$D$11</f>
        <v>1118.48</v>
      </c>
      <c r="T43" s="156"/>
      <c r="U43" s="166"/>
      <c r="V43" s="156"/>
      <c r="W43" s="166"/>
      <c r="X43" s="227">
        <f>TRUNC($C43*Y43,2)</f>
        <v>3607.15</v>
      </c>
      <c r="Y43" s="228">
        <f>Quantitativo!$D$17</f>
        <v>1693.5</v>
      </c>
      <c r="Z43" s="156"/>
      <c r="AA43" s="166"/>
      <c r="AB43" s="212">
        <f>D43+F43+H43+J43+L43+N43+P43+R43+T43+V43+X43+Z43</f>
        <v>7191.89</v>
      </c>
      <c r="AC43" s="213">
        <f t="shared" si="2"/>
        <v>3376.48</v>
      </c>
      <c r="AD43" s="188"/>
    </row>
    <row r="44" spans="1:30" s="145" customFormat="1" ht="28.5">
      <c r="A44" s="153" t="str">
        <f>Orcamento!A43</f>
        <v>3.2</v>
      </c>
      <c r="B44" s="154" t="str">
        <f>Orcamento!D43</f>
        <v>Estudo de Impacto Ambiental e Relatório de Impacto Ambiental  (EIA-RIMA)</v>
      </c>
      <c r="C44" s="155">
        <f>Orcamento!I43</f>
        <v>3.03</v>
      </c>
      <c r="D44" s="156"/>
      <c r="E44" s="166"/>
      <c r="F44" s="156"/>
      <c r="G44" s="166"/>
      <c r="H44" s="156"/>
      <c r="I44" s="166"/>
      <c r="J44" s="156"/>
      <c r="K44" s="166"/>
      <c r="L44" s="247">
        <f>TRUNC($C44*M44,2)</f>
        <v>11332.2</v>
      </c>
      <c r="M44" s="248">
        <f>Quantitativo!$E$15</f>
        <v>3740</v>
      </c>
      <c r="N44" s="156"/>
      <c r="O44" s="166"/>
      <c r="P44" s="156"/>
      <c r="Q44" s="166"/>
      <c r="R44" s="239">
        <f>TRUNC($C44*S44,2)</f>
        <v>8484</v>
      </c>
      <c r="S44" s="240">
        <f>Quantitativo!$E$11</f>
        <v>2800</v>
      </c>
      <c r="T44" s="156"/>
      <c r="U44" s="166"/>
      <c r="V44" s="156"/>
      <c r="W44" s="166"/>
      <c r="X44" s="227">
        <f>TRUNC($C44*Y44,2)</f>
        <v>12828.26</v>
      </c>
      <c r="Y44" s="228">
        <f>Quantitativo!$E$17</f>
        <v>4233.75</v>
      </c>
      <c r="Z44" s="156"/>
      <c r="AA44" s="166"/>
      <c r="AB44" s="212">
        <f>D44+F44+H44+J44+L44+N44+P44+R44+T44+V44+X44+Z44</f>
        <v>32644.46</v>
      </c>
      <c r="AC44" s="213">
        <f t="shared" si="2"/>
        <v>10773.75</v>
      </c>
      <c r="AD44" s="188"/>
    </row>
    <row r="45" spans="1:30" s="145" customFormat="1" ht="15">
      <c r="A45" s="153" t="str">
        <f>Orcamento!A44</f>
        <v>3.3</v>
      </c>
      <c r="B45" s="154" t="str">
        <f>Orcamento!D44</f>
        <v>Laudo de Cobertura Vegetal</v>
      </c>
      <c r="C45" s="155">
        <f>Orcamento!I44</f>
        <v>2.81</v>
      </c>
      <c r="D45" s="156"/>
      <c r="E45" s="166"/>
      <c r="F45" s="156"/>
      <c r="G45" s="166"/>
      <c r="H45" s="156"/>
      <c r="I45" s="166"/>
      <c r="J45" s="156"/>
      <c r="K45" s="166"/>
      <c r="L45" s="247">
        <f>TRUNC($C45*M45,2)</f>
        <v>8923.15</v>
      </c>
      <c r="M45" s="248">
        <f>Quantitativo!$E$15-Quantitativo!$D$15</f>
        <v>3175.5</v>
      </c>
      <c r="N45" s="156"/>
      <c r="O45" s="166"/>
      <c r="P45" s="156"/>
      <c r="Q45" s="166"/>
      <c r="R45" s="239">
        <f>TRUNC($C45*S45,2)</f>
        <v>4725.07</v>
      </c>
      <c r="S45" s="240">
        <f>Quantitativo!$E$11-Quantitativo!$D$11</f>
        <v>1681.52</v>
      </c>
      <c r="T45" s="156"/>
      <c r="U45" s="166"/>
      <c r="V45" s="156"/>
      <c r="W45" s="166"/>
      <c r="X45" s="227">
        <f>TRUNC($C45*Y45,2)</f>
        <v>7138.1</v>
      </c>
      <c r="Y45" s="228">
        <f>Quantitativo!$E$17-Quantitativo!$D$17</f>
        <v>2540.25</v>
      </c>
      <c r="Z45" s="156"/>
      <c r="AA45" s="166"/>
      <c r="AB45" s="212">
        <f>D45+F45+H45+J45+L45+N45+P45+R45+T45+V45+X45+Z45</f>
        <v>20786.32</v>
      </c>
      <c r="AC45" s="213">
        <f t="shared" si="2"/>
        <v>7397.27</v>
      </c>
      <c r="AD45" s="188"/>
    </row>
    <row r="46" spans="1:30" s="145" customFormat="1" ht="15">
      <c r="A46" s="153" t="str">
        <f>Orcamento!A45</f>
        <v>3.4</v>
      </c>
      <c r="B46" s="154" t="str">
        <f>Orcamento!D45</f>
        <v>Consulta Potencial Arqueológico</v>
      </c>
      <c r="C46" s="155">
        <f>Orcamento!I45</f>
        <v>1686.41</v>
      </c>
      <c r="D46" s="156"/>
      <c r="E46" s="166"/>
      <c r="F46" s="156"/>
      <c r="G46" s="166"/>
      <c r="H46" s="156"/>
      <c r="I46" s="166"/>
      <c r="J46" s="156"/>
      <c r="K46" s="166"/>
      <c r="L46" s="247">
        <f>TRUNC($C46*M46,2)</f>
        <v>1686.41</v>
      </c>
      <c r="M46" s="248">
        <v>1</v>
      </c>
      <c r="N46" s="156"/>
      <c r="O46" s="166"/>
      <c r="P46" s="156"/>
      <c r="Q46" s="166"/>
      <c r="R46" s="239">
        <f>TRUNC($C46*S46,2)</f>
        <v>1686.41</v>
      </c>
      <c r="S46" s="240">
        <v>1</v>
      </c>
      <c r="T46" s="156"/>
      <c r="U46" s="166"/>
      <c r="V46" s="156"/>
      <c r="W46" s="166"/>
      <c r="X46" s="227">
        <f>TRUNC($C46*Y46,2)</f>
        <v>1686.41</v>
      </c>
      <c r="Y46" s="228">
        <v>1</v>
      </c>
      <c r="Z46" s="156"/>
      <c r="AA46" s="166"/>
      <c r="AB46" s="212">
        <f>D46+F46+H46+J46+L46+N46+P46+R46+T46+V46+X46+Z46</f>
        <v>5059.2300000000005</v>
      </c>
      <c r="AC46" s="224">
        <f t="shared" si="2"/>
        <v>3</v>
      </c>
      <c r="AD46" s="188"/>
    </row>
    <row r="47" spans="1:31" s="152" customFormat="1" ht="15">
      <c r="A47" s="147">
        <f>Orcamento!A46</f>
        <v>4</v>
      </c>
      <c r="B47" s="147" t="str">
        <f>Orcamento!D46</f>
        <v>Projetos de Regularizações Legais e Normativas</v>
      </c>
      <c r="C47" s="148"/>
      <c r="D47" s="149"/>
      <c r="E47" s="167"/>
      <c r="F47" s="149"/>
      <c r="G47" s="150"/>
      <c r="H47" s="149"/>
      <c r="I47" s="150"/>
      <c r="J47" s="149"/>
      <c r="K47" s="150"/>
      <c r="L47" s="149"/>
      <c r="M47" s="150"/>
      <c r="N47" s="149"/>
      <c r="O47" s="150"/>
      <c r="P47" s="149"/>
      <c r="Q47" s="150"/>
      <c r="R47" s="149"/>
      <c r="S47" s="150"/>
      <c r="T47" s="149"/>
      <c r="U47" s="150"/>
      <c r="V47" s="149"/>
      <c r="W47" s="150"/>
      <c r="X47" s="150"/>
      <c r="Y47" s="150"/>
      <c r="Z47" s="149"/>
      <c r="AA47" s="150"/>
      <c r="AB47" s="214"/>
      <c r="AC47" s="213"/>
      <c r="AD47" s="188"/>
      <c r="AE47" s="145"/>
    </row>
    <row r="48" spans="1:30" s="145" customFormat="1" ht="15">
      <c r="A48" s="153" t="str">
        <f>Orcamento!A47</f>
        <v>4.1</v>
      </c>
      <c r="B48" s="154" t="str">
        <f>Orcamento!D47</f>
        <v>Projeto de Arquitetura</v>
      </c>
      <c r="C48" s="159"/>
      <c r="D48" s="160"/>
      <c r="E48" s="168"/>
      <c r="F48" s="162"/>
      <c r="G48" s="161"/>
      <c r="H48" s="257"/>
      <c r="I48" s="258"/>
      <c r="J48" s="162"/>
      <c r="K48" s="163"/>
      <c r="L48" s="245"/>
      <c r="M48" s="246"/>
      <c r="N48" s="162"/>
      <c r="O48" s="163"/>
      <c r="P48" s="162"/>
      <c r="Q48" s="161"/>
      <c r="R48" s="237"/>
      <c r="S48" s="238"/>
      <c r="T48" s="162"/>
      <c r="U48" s="161"/>
      <c r="V48" s="162"/>
      <c r="W48" s="161"/>
      <c r="X48" s="161"/>
      <c r="Y48" s="226"/>
      <c r="Z48" s="162"/>
      <c r="AA48" s="164"/>
      <c r="AB48" s="212"/>
      <c r="AC48" s="213"/>
      <c r="AD48" s="188"/>
    </row>
    <row r="49" spans="1:30" s="145" customFormat="1" ht="15">
      <c r="A49" s="153" t="str">
        <f>Orcamento!A48</f>
        <v>4.1.1</v>
      </c>
      <c r="B49" s="154" t="str">
        <f>Orcamento!D48</f>
        <v>Projeto de Arquitetura - Regularização</v>
      </c>
      <c r="C49" s="155">
        <f>Orcamento!I48</f>
        <v>13.68</v>
      </c>
      <c r="D49" s="156"/>
      <c r="E49" s="166"/>
      <c r="F49" s="156"/>
      <c r="G49" s="166"/>
      <c r="H49" s="255">
        <f>TRUNC($C49*I49,2)</f>
        <v>23167.08</v>
      </c>
      <c r="I49" s="256">
        <f>Quantitativo!$D$18</f>
        <v>1693.5</v>
      </c>
      <c r="J49" s="156"/>
      <c r="K49" s="166"/>
      <c r="L49" s="243">
        <f aca="true" t="shared" si="9" ref="L49:L68">TRUNC($C49*M49,2)</f>
        <v>22227.53</v>
      </c>
      <c r="M49" s="244">
        <f>Quantitativo!$D$10+Quantitativo!$D$12</f>
        <v>1624.82</v>
      </c>
      <c r="N49" s="156"/>
      <c r="O49" s="166"/>
      <c r="P49" s="156"/>
      <c r="Q49" s="166"/>
      <c r="R49" s="235">
        <f aca="true" t="shared" si="10" ref="R49:R68">TRUNC($C49*S49,2)</f>
        <v>38467.88</v>
      </c>
      <c r="S49" s="236">
        <f>Quantitativo!$D$13+Quantitativo!$D$19</f>
        <v>2811.98</v>
      </c>
      <c r="T49" s="156"/>
      <c r="U49" s="166"/>
      <c r="V49" s="156"/>
      <c r="W49" s="166"/>
      <c r="X49" s="232">
        <f aca="true" t="shared" si="11" ref="X49:X68">TRUNC($C49*Y49,2)</f>
        <v>23023.16</v>
      </c>
      <c r="Y49" s="233">
        <f>Quantitativo!$D$14+Quantitativo!$D$16</f>
        <v>1682.98</v>
      </c>
      <c r="Z49" s="156"/>
      <c r="AA49" s="166"/>
      <c r="AB49" s="212">
        <f aca="true" t="shared" si="12" ref="AB49:AB68">D49+F49+H49+J49+L49+N49+P49+R49+T49+V49+X49+Z49</f>
        <v>106885.65</v>
      </c>
      <c r="AC49" s="213">
        <f t="shared" si="2"/>
        <v>7813.279999999999</v>
      </c>
      <c r="AD49" s="188"/>
    </row>
    <row r="50" spans="1:30" s="145" customFormat="1" ht="15">
      <c r="A50" s="153" t="str">
        <f>Orcamento!A49</f>
        <v>4.2</v>
      </c>
      <c r="B50" s="154" t="str">
        <f>Orcamento!D49</f>
        <v>Projeto Estrutural</v>
      </c>
      <c r="C50" s="159"/>
      <c r="D50" s="160"/>
      <c r="E50" s="168"/>
      <c r="F50" s="162"/>
      <c r="G50" s="161"/>
      <c r="H50" s="257"/>
      <c r="I50" s="258"/>
      <c r="J50" s="162"/>
      <c r="K50" s="163"/>
      <c r="L50" s="245"/>
      <c r="M50" s="246"/>
      <c r="N50" s="162"/>
      <c r="O50" s="163"/>
      <c r="P50" s="162"/>
      <c r="Q50" s="161"/>
      <c r="R50" s="237"/>
      <c r="S50" s="238"/>
      <c r="T50" s="162"/>
      <c r="U50" s="161"/>
      <c r="V50" s="162"/>
      <c r="W50" s="161"/>
      <c r="X50" s="234"/>
      <c r="Y50" s="234"/>
      <c r="Z50" s="162"/>
      <c r="AA50" s="164"/>
      <c r="AB50" s="212"/>
      <c r="AC50" s="213"/>
      <c r="AD50" s="188"/>
    </row>
    <row r="51" spans="1:30" s="145" customFormat="1" ht="15">
      <c r="A51" s="153" t="str">
        <f>Orcamento!A50</f>
        <v>4.2.1</v>
      </c>
      <c r="B51" s="154" t="str">
        <f>Orcamento!D50</f>
        <v>Projeto de Estruturas Concreto Armado - Regularização</v>
      </c>
      <c r="C51" s="155">
        <f>Orcamento!I50</f>
        <v>6.91</v>
      </c>
      <c r="D51" s="156"/>
      <c r="E51" s="166"/>
      <c r="F51" s="156"/>
      <c r="G51" s="166"/>
      <c r="H51" s="255">
        <f>TRUNC($C51*I51,2)</f>
        <v>11702.08</v>
      </c>
      <c r="I51" s="256">
        <f>Quantitativo!$D$18</f>
        <v>1693.5</v>
      </c>
      <c r="J51" s="156"/>
      <c r="K51" s="166"/>
      <c r="L51" s="243">
        <f t="shared" si="9"/>
        <v>11227.5</v>
      </c>
      <c r="M51" s="244">
        <f>Quantitativo!$D$10+Quantitativo!$D$12</f>
        <v>1624.82</v>
      </c>
      <c r="N51" s="156"/>
      <c r="O51" s="166"/>
      <c r="P51" s="156"/>
      <c r="Q51" s="166"/>
      <c r="R51" s="235">
        <f t="shared" si="10"/>
        <v>19430.78</v>
      </c>
      <c r="S51" s="236">
        <f>Quantitativo!$D$13+Quantitativo!$D$19</f>
        <v>2811.98</v>
      </c>
      <c r="T51" s="156"/>
      <c r="U51" s="166"/>
      <c r="V51" s="156"/>
      <c r="W51" s="166"/>
      <c r="X51" s="232">
        <f t="shared" si="11"/>
        <v>11629.39</v>
      </c>
      <c r="Y51" s="233">
        <f>Quantitativo!$D$14+Quantitativo!$D$16</f>
        <v>1682.98</v>
      </c>
      <c r="Z51" s="156"/>
      <c r="AA51" s="166"/>
      <c r="AB51" s="212">
        <f t="shared" si="12"/>
        <v>53989.75</v>
      </c>
      <c r="AC51" s="213">
        <f t="shared" si="2"/>
        <v>7813.279999999999</v>
      </c>
      <c r="AD51" s="188"/>
    </row>
    <row r="52" spans="1:30" s="145" customFormat="1" ht="15">
      <c r="A52" s="153" t="str">
        <f>Orcamento!A51</f>
        <v>4.2.2</v>
      </c>
      <c r="B52" s="154" t="str">
        <f>Orcamento!D51</f>
        <v>Projeto de Estruturas Metálica - Regularização</v>
      </c>
      <c r="C52" s="155">
        <f>Orcamento!I51</f>
        <v>2.97</v>
      </c>
      <c r="D52" s="156"/>
      <c r="E52" s="166"/>
      <c r="F52" s="156"/>
      <c r="G52" s="166"/>
      <c r="H52" s="255">
        <f>TRUNC($C52*I52,2)</f>
        <v>5029.69</v>
      </c>
      <c r="I52" s="256">
        <f>Quantitativo!$D$18</f>
        <v>1693.5</v>
      </c>
      <c r="J52" s="156"/>
      <c r="K52" s="166"/>
      <c r="L52" s="243">
        <f t="shared" si="9"/>
        <v>4825.71</v>
      </c>
      <c r="M52" s="244">
        <f>Quantitativo!$D$10+Quantitativo!$D$12</f>
        <v>1624.82</v>
      </c>
      <c r="N52" s="156"/>
      <c r="O52" s="166"/>
      <c r="P52" s="156"/>
      <c r="Q52" s="166"/>
      <c r="R52" s="235">
        <f t="shared" si="10"/>
        <v>8351.58</v>
      </c>
      <c r="S52" s="236">
        <f>Quantitativo!$D$13+Quantitativo!$D$19</f>
        <v>2811.98</v>
      </c>
      <c r="T52" s="156"/>
      <c r="U52" s="166"/>
      <c r="V52" s="156"/>
      <c r="W52" s="166"/>
      <c r="X52" s="232">
        <f t="shared" si="11"/>
        <v>4998.45</v>
      </c>
      <c r="Y52" s="233">
        <f>Quantitativo!$D$14+Quantitativo!$D$16</f>
        <v>1682.98</v>
      </c>
      <c r="Z52" s="156"/>
      <c r="AA52" s="166"/>
      <c r="AB52" s="212">
        <f t="shared" si="12"/>
        <v>23205.43</v>
      </c>
      <c r="AC52" s="213">
        <f t="shared" si="2"/>
        <v>7813.279999999999</v>
      </c>
      <c r="AD52" s="188"/>
    </row>
    <row r="53" spans="1:30" s="145" customFormat="1" ht="15">
      <c r="A53" s="153" t="str">
        <f>Orcamento!A52</f>
        <v>4.2.3</v>
      </c>
      <c r="B53" s="154" t="str">
        <f>Orcamento!D52</f>
        <v>Projeto de Estruturas Madeira - Regularização</v>
      </c>
      <c r="C53" s="155">
        <f>Orcamento!I52</f>
        <v>4.88</v>
      </c>
      <c r="D53" s="156"/>
      <c r="E53" s="166"/>
      <c r="F53" s="156"/>
      <c r="G53" s="166"/>
      <c r="H53" s="255">
        <f>TRUNC($C53*I53,2)</f>
        <v>8264.28</v>
      </c>
      <c r="I53" s="256">
        <f>Quantitativo!$D$18</f>
        <v>1693.5</v>
      </c>
      <c r="J53" s="156"/>
      <c r="K53" s="166"/>
      <c r="L53" s="243">
        <f t="shared" si="9"/>
        <v>7929.12</v>
      </c>
      <c r="M53" s="244">
        <f>Quantitativo!$D$10+Quantitativo!$D$12</f>
        <v>1624.82</v>
      </c>
      <c r="N53" s="156"/>
      <c r="O53" s="166"/>
      <c r="P53" s="156"/>
      <c r="Q53" s="166"/>
      <c r="R53" s="235">
        <f t="shared" si="10"/>
        <v>13722.46</v>
      </c>
      <c r="S53" s="236">
        <f>Quantitativo!$D$13+Quantitativo!$D$19</f>
        <v>2811.98</v>
      </c>
      <c r="T53" s="156"/>
      <c r="U53" s="166"/>
      <c r="V53" s="156"/>
      <c r="W53" s="166"/>
      <c r="X53" s="232">
        <f t="shared" si="11"/>
        <v>8212.94</v>
      </c>
      <c r="Y53" s="233">
        <f>Quantitativo!$D$14+Quantitativo!$D$16</f>
        <v>1682.98</v>
      </c>
      <c r="Z53" s="156"/>
      <c r="AA53" s="166"/>
      <c r="AB53" s="212">
        <f t="shared" si="12"/>
        <v>38128.8</v>
      </c>
      <c r="AC53" s="213">
        <f t="shared" si="2"/>
        <v>7813.279999999999</v>
      </c>
      <c r="AD53" s="188"/>
    </row>
    <row r="54" spans="1:30" s="145" customFormat="1" ht="15">
      <c r="A54" s="153" t="str">
        <f>Orcamento!A53</f>
        <v>4.3</v>
      </c>
      <c r="B54" s="154" t="str">
        <f>Orcamento!D53</f>
        <v>Projeto Elétrico</v>
      </c>
      <c r="C54" s="159"/>
      <c r="D54" s="160"/>
      <c r="E54" s="168"/>
      <c r="F54" s="162"/>
      <c r="G54" s="161"/>
      <c r="H54" s="257"/>
      <c r="I54" s="258"/>
      <c r="J54" s="162"/>
      <c r="K54" s="163"/>
      <c r="L54" s="245"/>
      <c r="M54" s="246"/>
      <c r="N54" s="162"/>
      <c r="O54" s="163"/>
      <c r="P54" s="162"/>
      <c r="Q54" s="161"/>
      <c r="R54" s="237"/>
      <c r="S54" s="238"/>
      <c r="T54" s="162"/>
      <c r="U54" s="161"/>
      <c r="V54" s="162"/>
      <c r="W54" s="161"/>
      <c r="X54" s="234"/>
      <c r="Y54" s="234"/>
      <c r="Z54" s="162"/>
      <c r="AA54" s="164"/>
      <c r="AB54" s="212"/>
      <c r="AC54" s="213"/>
      <c r="AD54" s="188"/>
    </row>
    <row r="55" spans="1:30" s="145" customFormat="1" ht="15">
      <c r="A55" s="153" t="str">
        <f>Orcamento!A54</f>
        <v>4.3.1</v>
      </c>
      <c r="B55" s="154" t="str">
        <f>Orcamento!D54</f>
        <v>Projeto de Entrada Energia - Regularização</v>
      </c>
      <c r="C55" s="155">
        <f>Orcamento!I54</f>
        <v>870.99</v>
      </c>
      <c r="D55" s="156"/>
      <c r="E55" s="166"/>
      <c r="F55" s="156"/>
      <c r="G55" s="166"/>
      <c r="H55" s="255">
        <f>TRUNC($C55*I55,2)</f>
        <v>870.99</v>
      </c>
      <c r="I55" s="256">
        <v>1</v>
      </c>
      <c r="J55" s="156"/>
      <c r="K55" s="166"/>
      <c r="L55" s="243">
        <f t="shared" si="9"/>
        <v>1741.98</v>
      </c>
      <c r="M55" s="244">
        <v>2</v>
      </c>
      <c r="N55" s="156"/>
      <c r="O55" s="166"/>
      <c r="P55" s="156"/>
      <c r="Q55" s="166"/>
      <c r="R55" s="235">
        <f t="shared" si="10"/>
        <v>1741.98</v>
      </c>
      <c r="S55" s="236">
        <v>2</v>
      </c>
      <c r="T55" s="156"/>
      <c r="U55" s="166"/>
      <c r="V55" s="156"/>
      <c r="W55" s="166"/>
      <c r="X55" s="232">
        <f t="shared" si="11"/>
        <v>1741.98</v>
      </c>
      <c r="Y55" s="233">
        <v>2</v>
      </c>
      <c r="Z55" s="156"/>
      <c r="AA55" s="166"/>
      <c r="AB55" s="212">
        <f t="shared" si="12"/>
        <v>6096.93</v>
      </c>
      <c r="AC55" s="224">
        <f t="shared" si="2"/>
        <v>7</v>
      </c>
      <c r="AD55" s="188"/>
    </row>
    <row r="56" spans="1:30" s="145" customFormat="1" ht="15">
      <c r="A56" s="153" t="str">
        <f>Orcamento!A55</f>
        <v>4.3.2</v>
      </c>
      <c r="B56" s="154" t="str">
        <f>Orcamento!D55</f>
        <v>Projeto de Sistema Emergência - Regularização</v>
      </c>
      <c r="C56" s="155">
        <f>Orcamento!I55</f>
        <v>1.03</v>
      </c>
      <c r="D56" s="156"/>
      <c r="E56" s="166"/>
      <c r="F56" s="156"/>
      <c r="G56" s="166"/>
      <c r="H56" s="255">
        <f aca="true" t="shared" si="13" ref="H56:H64">TRUNC($C56*I56,2)</f>
        <v>1744.3</v>
      </c>
      <c r="I56" s="256">
        <f>Quantitativo!$D$18</f>
        <v>1693.5</v>
      </c>
      <c r="J56" s="156"/>
      <c r="K56" s="166"/>
      <c r="L56" s="243">
        <f t="shared" si="9"/>
        <v>1673.56</v>
      </c>
      <c r="M56" s="244">
        <f>Quantitativo!$D$10+Quantitativo!$D$12</f>
        <v>1624.82</v>
      </c>
      <c r="N56" s="156"/>
      <c r="O56" s="166"/>
      <c r="P56" s="156"/>
      <c r="Q56" s="166"/>
      <c r="R56" s="235">
        <f t="shared" si="10"/>
        <v>2896.33</v>
      </c>
      <c r="S56" s="236">
        <f>Quantitativo!$D$13+Quantitativo!$D$19</f>
        <v>2811.98</v>
      </c>
      <c r="T56" s="156"/>
      <c r="U56" s="166"/>
      <c r="V56" s="156"/>
      <c r="W56" s="166"/>
      <c r="X56" s="232">
        <f t="shared" si="11"/>
        <v>1733.46</v>
      </c>
      <c r="Y56" s="233">
        <f>Quantitativo!$D$14+Quantitativo!$D$16</f>
        <v>1682.98</v>
      </c>
      <c r="Z56" s="156"/>
      <c r="AA56" s="166"/>
      <c r="AB56" s="212">
        <f t="shared" si="12"/>
        <v>8047.65</v>
      </c>
      <c r="AC56" s="213">
        <f t="shared" si="2"/>
        <v>7813.279999999999</v>
      </c>
      <c r="AD56" s="188"/>
    </row>
    <row r="57" spans="1:30" s="145" customFormat="1" ht="28.5">
      <c r="A57" s="153" t="str">
        <f>Orcamento!A56</f>
        <v>4.3.3</v>
      </c>
      <c r="B57" s="154" t="str">
        <f>Orcamento!D56</f>
        <v>Projeto de Quadro Geral de Baixa Tensão e Centros de Distribuição - Regularização</v>
      </c>
      <c r="C57" s="155">
        <f>Orcamento!I56</f>
        <v>870.99</v>
      </c>
      <c r="D57" s="156"/>
      <c r="E57" s="166"/>
      <c r="F57" s="156"/>
      <c r="G57" s="166"/>
      <c r="H57" s="255">
        <f t="shared" si="13"/>
        <v>870.99</v>
      </c>
      <c r="I57" s="256">
        <v>1</v>
      </c>
      <c r="J57" s="156"/>
      <c r="K57" s="166"/>
      <c r="L57" s="243">
        <f t="shared" si="9"/>
        <v>1741.98</v>
      </c>
      <c r="M57" s="244">
        <v>2</v>
      </c>
      <c r="N57" s="156"/>
      <c r="O57" s="166"/>
      <c r="P57" s="156"/>
      <c r="Q57" s="166"/>
      <c r="R57" s="235">
        <f t="shared" si="10"/>
        <v>1741.98</v>
      </c>
      <c r="S57" s="236">
        <v>2</v>
      </c>
      <c r="T57" s="156"/>
      <c r="U57" s="166"/>
      <c r="V57" s="156"/>
      <c r="W57" s="166"/>
      <c r="X57" s="232">
        <f t="shared" si="11"/>
        <v>1741.98</v>
      </c>
      <c r="Y57" s="233">
        <v>2</v>
      </c>
      <c r="Z57" s="156"/>
      <c r="AA57" s="166"/>
      <c r="AB57" s="212">
        <f t="shared" si="12"/>
        <v>6096.93</v>
      </c>
      <c r="AC57" s="224">
        <f t="shared" si="2"/>
        <v>7</v>
      </c>
      <c r="AD57" s="188"/>
    </row>
    <row r="58" spans="1:30" s="145" customFormat="1" ht="28.5">
      <c r="A58" s="153" t="str">
        <f>Orcamento!A57</f>
        <v>4.3.4</v>
      </c>
      <c r="B58" s="154" t="str">
        <f>Orcamento!D57</f>
        <v>Projeto de Instalações de Iluminação e Tomadas - Regularização</v>
      </c>
      <c r="C58" s="155">
        <f>Orcamento!I57</f>
        <v>3.47</v>
      </c>
      <c r="D58" s="156"/>
      <c r="E58" s="166"/>
      <c r="F58" s="156"/>
      <c r="G58" s="166"/>
      <c r="H58" s="255">
        <f t="shared" si="13"/>
        <v>5876.44</v>
      </c>
      <c r="I58" s="256">
        <f>Quantitativo!$D$18</f>
        <v>1693.5</v>
      </c>
      <c r="J58" s="156"/>
      <c r="K58" s="166"/>
      <c r="L58" s="243">
        <f t="shared" si="9"/>
        <v>5638.12</v>
      </c>
      <c r="M58" s="244">
        <f>Quantitativo!$D$10+Quantitativo!$D$12</f>
        <v>1624.82</v>
      </c>
      <c r="N58" s="156"/>
      <c r="O58" s="166"/>
      <c r="P58" s="156"/>
      <c r="Q58" s="166"/>
      <c r="R58" s="235">
        <f t="shared" si="10"/>
        <v>9757.57</v>
      </c>
      <c r="S58" s="236">
        <f>Quantitativo!$D$13+Quantitativo!$D$19</f>
        <v>2811.98</v>
      </c>
      <c r="T58" s="156"/>
      <c r="U58" s="166"/>
      <c r="V58" s="156"/>
      <c r="W58" s="166"/>
      <c r="X58" s="232">
        <f t="shared" si="11"/>
        <v>5839.94</v>
      </c>
      <c r="Y58" s="233">
        <f>Quantitativo!$D$14+Quantitativo!$D$16</f>
        <v>1682.98</v>
      </c>
      <c r="Z58" s="156"/>
      <c r="AA58" s="166"/>
      <c r="AB58" s="212">
        <f t="shared" si="12"/>
        <v>27112.069999999996</v>
      </c>
      <c r="AC58" s="213">
        <f t="shared" si="2"/>
        <v>7813.279999999999</v>
      </c>
      <c r="AD58" s="188"/>
    </row>
    <row r="59" spans="1:30" s="145" customFormat="1" ht="15">
      <c r="A59" s="153" t="str">
        <f>Orcamento!A58</f>
        <v>4.3.5</v>
      </c>
      <c r="B59" s="172" t="str">
        <f>Orcamento!D58</f>
        <v>Projeto Luminotécnico de Interiores - Regularização</v>
      </c>
      <c r="C59" s="155">
        <f>Orcamento!I58</f>
        <v>1.77</v>
      </c>
      <c r="D59" s="156"/>
      <c r="E59" s="166"/>
      <c r="F59" s="156"/>
      <c r="G59" s="166"/>
      <c r="H59" s="255">
        <f>TRUNC($C59*I59,2)</f>
        <v>0</v>
      </c>
      <c r="I59" s="256"/>
      <c r="J59" s="156"/>
      <c r="K59" s="166"/>
      <c r="L59" s="243">
        <f>TRUNC($C59*M59,2)</f>
        <v>5873.42</v>
      </c>
      <c r="M59" s="244">
        <f>Quantitativo!$D$10+Quantitativo!$D$12+Quantitativo!$D$18</f>
        <v>3318.3199999999997</v>
      </c>
      <c r="N59" s="156"/>
      <c r="O59" s="166"/>
      <c r="P59" s="156"/>
      <c r="Q59" s="166"/>
      <c r="R59" s="235">
        <f>TRUNC($C59*S59,2)</f>
        <v>4977.2</v>
      </c>
      <c r="S59" s="236">
        <f>Quantitativo!$D$13+Quantitativo!$D$19</f>
        <v>2811.98</v>
      </c>
      <c r="T59" s="156"/>
      <c r="U59" s="166"/>
      <c r="V59" s="156"/>
      <c r="W59" s="166"/>
      <c r="X59" s="232">
        <f>TRUNC($C59*Y59,2)</f>
        <v>2978.87</v>
      </c>
      <c r="Y59" s="233">
        <f>Quantitativo!$D$14+Quantitativo!$D$16</f>
        <v>1682.98</v>
      </c>
      <c r="Z59" s="156"/>
      <c r="AA59" s="166"/>
      <c r="AB59" s="212">
        <f>D59+F59+H59+J59+L59+N59+P59+R59+T59+V59+X59+Z59</f>
        <v>13829.489999999998</v>
      </c>
      <c r="AC59" s="213">
        <f>E59+G59+I59+K59+M59+O59+Q59+S59+U59+W59+Y59+AA59</f>
        <v>7813.279999999999</v>
      </c>
      <c r="AD59" s="188"/>
    </row>
    <row r="60" spans="1:30" s="145" customFormat="1" ht="15">
      <c r="A60" s="153" t="str">
        <f>Orcamento!A59</f>
        <v>4.3.6</v>
      </c>
      <c r="B60" s="172" t="str">
        <f>Orcamento!D59</f>
        <v>Projeto Luminotécnico de Áreas Externas - Regularização</v>
      </c>
      <c r="C60" s="155">
        <f>Orcamento!I59</f>
        <v>0.54</v>
      </c>
      <c r="D60" s="156"/>
      <c r="E60" s="166"/>
      <c r="F60" s="156"/>
      <c r="G60" s="166"/>
      <c r="H60" s="255">
        <f>TRUNC($C60*I60,2)</f>
        <v>0</v>
      </c>
      <c r="I60" s="256"/>
      <c r="J60" s="156"/>
      <c r="K60" s="166"/>
      <c r="L60" s="243">
        <f>TRUNC($C60*M60,2)</f>
        <v>3090</v>
      </c>
      <c r="M60" s="244">
        <f>Quantitativo!$E$10+Quantitativo!$E$12+Quantitativo!$E$18-(Quantitativo!$D$10+Quantitativo!$D$12+Quantitativo!$D$18)</f>
        <v>5722.23</v>
      </c>
      <c r="N60" s="156"/>
      <c r="O60" s="166"/>
      <c r="P60" s="156"/>
      <c r="Q60" s="166"/>
      <c r="R60" s="235">
        <f>TRUNC($C60*S60,2)</f>
        <v>2525.45</v>
      </c>
      <c r="S60" s="236">
        <f>Quantitativo!$E$13+Quantitativo!$E$19-(Quantitativo!$D$13+Quantitativo!$D$19)</f>
        <v>4676.77</v>
      </c>
      <c r="T60" s="156"/>
      <c r="U60" s="166"/>
      <c r="V60" s="156"/>
      <c r="W60" s="166"/>
      <c r="X60" s="232">
        <f>TRUNC($C60*Y60,2)</f>
        <v>2770.29</v>
      </c>
      <c r="Y60" s="233">
        <f>Quantitativo!$E$14+Quantitativo!$E$16-(Quantitativo!$D$14+Quantitativo!$D$16)</f>
        <v>5130.17</v>
      </c>
      <c r="Z60" s="156"/>
      <c r="AA60" s="166"/>
      <c r="AB60" s="212">
        <f>D60+F60+H60+J60+L60+N60+P60+R60+T60+V60+X60+Z60</f>
        <v>8385.74</v>
      </c>
      <c r="AC60" s="213">
        <f>E60+G60+I60+K60+M60+O60+Q60+S60+U60+W60+Y60+AA60</f>
        <v>15529.17</v>
      </c>
      <c r="AD60" s="188"/>
    </row>
    <row r="61" spans="1:30" s="145" customFormat="1" ht="28.5">
      <c r="A61" s="153" t="str">
        <f>Orcamento!A60</f>
        <v>4.3.7</v>
      </c>
      <c r="B61" s="154" t="str">
        <f>Orcamento!D60</f>
        <v>Projeto de Rede Lógica (Cabeamento Estruturado – Voz e Dados) - Regularização</v>
      </c>
      <c r="C61" s="155">
        <f>Orcamento!I60</f>
        <v>1.34</v>
      </c>
      <c r="D61" s="156"/>
      <c r="E61" s="166"/>
      <c r="F61" s="156"/>
      <c r="G61" s="166"/>
      <c r="H61" s="255">
        <f t="shared" si="13"/>
        <v>2269.29</v>
      </c>
      <c r="I61" s="256">
        <f>Quantitativo!$D$18</f>
        <v>1693.5</v>
      </c>
      <c r="J61" s="156"/>
      <c r="K61" s="166"/>
      <c r="L61" s="243">
        <f t="shared" si="9"/>
        <v>2177.25</v>
      </c>
      <c r="M61" s="244">
        <f>Quantitativo!$D$10+Quantitativo!$D$12</f>
        <v>1624.82</v>
      </c>
      <c r="N61" s="156"/>
      <c r="O61" s="166"/>
      <c r="P61" s="156"/>
      <c r="Q61" s="166"/>
      <c r="R61" s="235">
        <f t="shared" si="10"/>
        <v>3768.05</v>
      </c>
      <c r="S61" s="236">
        <f>Quantitativo!$D$13+Quantitativo!$D$19</f>
        <v>2811.98</v>
      </c>
      <c r="T61" s="156"/>
      <c r="U61" s="166"/>
      <c r="V61" s="156"/>
      <c r="W61" s="166"/>
      <c r="X61" s="232">
        <f t="shared" si="11"/>
        <v>2255.19</v>
      </c>
      <c r="Y61" s="233">
        <f>Quantitativo!$D$14+Quantitativo!$D$16</f>
        <v>1682.98</v>
      </c>
      <c r="Z61" s="156"/>
      <c r="AA61" s="166"/>
      <c r="AB61" s="212">
        <f t="shared" si="12"/>
        <v>10469.78</v>
      </c>
      <c r="AC61" s="213">
        <f t="shared" si="2"/>
        <v>7813.279999999999</v>
      </c>
      <c r="AD61" s="188"/>
    </row>
    <row r="62" spans="1:30" s="145" customFormat="1" ht="28.5">
      <c r="A62" s="153" t="str">
        <f>Orcamento!A61</f>
        <v>4.3.8</v>
      </c>
      <c r="B62" s="154" t="str">
        <f>Orcamento!D61</f>
        <v>Projeto de Sistema de Proteção Contra Descargas Atmosféricas (SPDA) - Regularização</v>
      </c>
      <c r="C62" s="155">
        <f>Orcamento!I61</f>
        <v>0.73</v>
      </c>
      <c r="D62" s="156"/>
      <c r="E62" s="166"/>
      <c r="F62" s="156"/>
      <c r="G62" s="166"/>
      <c r="H62" s="255">
        <f t="shared" si="13"/>
        <v>1236.25</v>
      </c>
      <c r="I62" s="256">
        <f>Quantitativo!$D$18</f>
        <v>1693.5</v>
      </c>
      <c r="J62" s="156"/>
      <c r="K62" s="166"/>
      <c r="L62" s="243">
        <f t="shared" si="9"/>
        <v>1186.11</v>
      </c>
      <c r="M62" s="244">
        <f>Quantitativo!$D$10+Quantitativo!$D$12</f>
        <v>1624.82</v>
      </c>
      <c r="N62" s="156"/>
      <c r="O62" s="166"/>
      <c r="P62" s="156"/>
      <c r="Q62" s="166"/>
      <c r="R62" s="235">
        <f t="shared" si="10"/>
        <v>2052.74</v>
      </c>
      <c r="S62" s="236">
        <f>Quantitativo!$D$13+Quantitativo!$D$19</f>
        <v>2811.98</v>
      </c>
      <c r="T62" s="156"/>
      <c r="U62" s="166"/>
      <c r="V62" s="156"/>
      <c r="W62" s="166"/>
      <c r="X62" s="232">
        <f t="shared" si="11"/>
        <v>1228.57</v>
      </c>
      <c r="Y62" s="233">
        <f>Quantitativo!$D$14+Quantitativo!$D$16</f>
        <v>1682.98</v>
      </c>
      <c r="Z62" s="156"/>
      <c r="AA62" s="166"/>
      <c r="AB62" s="212">
        <f t="shared" si="12"/>
        <v>5703.669999999999</v>
      </c>
      <c r="AC62" s="213">
        <f t="shared" si="2"/>
        <v>7813.279999999999</v>
      </c>
      <c r="AD62" s="188"/>
    </row>
    <row r="63" spans="1:30" s="145" customFormat="1" ht="15">
      <c r="A63" s="153" t="str">
        <f>Orcamento!A62</f>
        <v>4.3.9</v>
      </c>
      <c r="B63" s="154" t="str">
        <f>Orcamento!D62</f>
        <v>Projeto de Automação, Alarme e CFTV - Regularização</v>
      </c>
      <c r="C63" s="155">
        <f>Orcamento!I62</f>
        <v>1.55</v>
      </c>
      <c r="D63" s="156"/>
      <c r="E63" s="166"/>
      <c r="F63" s="156"/>
      <c r="G63" s="166"/>
      <c r="H63" s="255">
        <f t="shared" si="13"/>
        <v>2624.92</v>
      </c>
      <c r="I63" s="256">
        <f>Quantitativo!$D$18</f>
        <v>1693.5</v>
      </c>
      <c r="J63" s="156"/>
      <c r="K63" s="166"/>
      <c r="L63" s="243">
        <f t="shared" si="9"/>
        <v>2518.47</v>
      </c>
      <c r="M63" s="244">
        <f>Quantitativo!$D$10+Quantitativo!$D$12</f>
        <v>1624.82</v>
      </c>
      <c r="N63" s="156"/>
      <c r="O63" s="166"/>
      <c r="P63" s="156"/>
      <c r="Q63" s="166"/>
      <c r="R63" s="235">
        <f t="shared" si="10"/>
        <v>4358.56</v>
      </c>
      <c r="S63" s="236">
        <f>Quantitativo!$D$13+Quantitativo!$D$19</f>
        <v>2811.98</v>
      </c>
      <c r="T63" s="156"/>
      <c r="U63" s="166"/>
      <c r="V63" s="156"/>
      <c r="W63" s="166"/>
      <c r="X63" s="232">
        <f t="shared" si="11"/>
        <v>2608.61</v>
      </c>
      <c r="Y63" s="233">
        <f>Quantitativo!$D$14+Quantitativo!$D$16</f>
        <v>1682.98</v>
      </c>
      <c r="Z63" s="156"/>
      <c r="AA63" s="166"/>
      <c r="AB63" s="212">
        <f t="shared" si="12"/>
        <v>12110.560000000001</v>
      </c>
      <c r="AC63" s="213">
        <f t="shared" si="2"/>
        <v>7813.279999999999</v>
      </c>
      <c r="AD63" s="188"/>
    </row>
    <row r="64" spans="1:30" s="145" customFormat="1" ht="15">
      <c r="A64" s="153" t="str">
        <f>Orcamento!A63</f>
        <v>4.3.10</v>
      </c>
      <c r="B64" s="154" t="str">
        <f>Orcamento!D63</f>
        <v>Projeto de Subestação - Regularização</v>
      </c>
      <c r="C64" s="155">
        <f>Orcamento!I63</f>
        <v>2576.58</v>
      </c>
      <c r="D64" s="156"/>
      <c r="E64" s="166"/>
      <c r="F64" s="156"/>
      <c r="G64" s="166"/>
      <c r="H64" s="255">
        <f t="shared" si="13"/>
        <v>2576.58</v>
      </c>
      <c r="I64" s="256">
        <v>1</v>
      </c>
      <c r="J64" s="156"/>
      <c r="K64" s="166"/>
      <c r="L64" s="243">
        <f t="shared" si="9"/>
        <v>5153.16</v>
      </c>
      <c r="M64" s="244">
        <v>2</v>
      </c>
      <c r="N64" s="156"/>
      <c r="O64" s="166"/>
      <c r="P64" s="156"/>
      <c r="Q64" s="166"/>
      <c r="R64" s="235">
        <f t="shared" si="10"/>
        <v>5153.16</v>
      </c>
      <c r="S64" s="236">
        <v>2</v>
      </c>
      <c r="T64" s="156"/>
      <c r="U64" s="166"/>
      <c r="V64" s="156"/>
      <c r="W64" s="166"/>
      <c r="X64" s="232">
        <f t="shared" si="11"/>
        <v>5153.16</v>
      </c>
      <c r="Y64" s="233">
        <v>2</v>
      </c>
      <c r="Z64" s="156"/>
      <c r="AA64" s="166"/>
      <c r="AB64" s="212">
        <f t="shared" si="12"/>
        <v>18036.059999999998</v>
      </c>
      <c r="AC64" s="224">
        <f t="shared" si="2"/>
        <v>7</v>
      </c>
      <c r="AD64" s="188"/>
    </row>
    <row r="65" spans="1:30" s="145" customFormat="1" ht="15">
      <c r="A65" s="153" t="str">
        <f>Orcamento!A64</f>
        <v>4.4</v>
      </c>
      <c r="B65" s="154" t="str">
        <f>Orcamento!D64</f>
        <v>Projeto Hidrossanitário</v>
      </c>
      <c r="C65" s="159"/>
      <c r="D65" s="160"/>
      <c r="E65" s="168"/>
      <c r="F65" s="162"/>
      <c r="G65" s="161"/>
      <c r="H65" s="257"/>
      <c r="I65" s="258"/>
      <c r="J65" s="162"/>
      <c r="K65" s="163"/>
      <c r="L65" s="245"/>
      <c r="M65" s="246"/>
      <c r="N65" s="162"/>
      <c r="O65" s="163"/>
      <c r="P65" s="162"/>
      <c r="Q65" s="161"/>
      <c r="R65" s="237"/>
      <c r="S65" s="238"/>
      <c r="T65" s="162"/>
      <c r="U65" s="161"/>
      <c r="V65" s="162"/>
      <c r="W65" s="161"/>
      <c r="X65" s="234"/>
      <c r="Y65" s="234"/>
      <c r="Z65" s="162"/>
      <c r="AA65" s="164"/>
      <c r="AB65" s="212"/>
      <c r="AC65" s="213"/>
      <c r="AD65" s="188"/>
    </row>
    <row r="66" spans="1:30" s="145" customFormat="1" ht="28.5">
      <c r="A66" s="153" t="str">
        <f>Orcamento!A65</f>
        <v>4.4.1</v>
      </c>
      <c r="B66" s="154" t="str">
        <f>Orcamento!D65</f>
        <v>Projeto de Redes de Água Fria e Esgoto Cloacal - Regularização</v>
      </c>
      <c r="C66" s="155">
        <f>Orcamento!I65</f>
        <v>4.1</v>
      </c>
      <c r="D66" s="156"/>
      <c r="E66" s="166"/>
      <c r="F66" s="156"/>
      <c r="G66" s="166"/>
      <c r="H66" s="255">
        <f>TRUNC($C66*I66,2)</f>
        <v>6943.35</v>
      </c>
      <c r="I66" s="256">
        <f>Quantitativo!$D$18</f>
        <v>1693.5</v>
      </c>
      <c r="J66" s="156"/>
      <c r="K66" s="166"/>
      <c r="L66" s="243">
        <f t="shared" si="9"/>
        <v>6661.76</v>
      </c>
      <c r="M66" s="244">
        <f>Quantitativo!$D$10+Quantitativo!$D$12</f>
        <v>1624.82</v>
      </c>
      <c r="N66" s="156"/>
      <c r="O66" s="166"/>
      <c r="P66" s="156"/>
      <c r="Q66" s="166"/>
      <c r="R66" s="235">
        <f t="shared" si="10"/>
        <v>11529.11</v>
      </c>
      <c r="S66" s="236">
        <f>Quantitativo!$D$13+Quantitativo!$D$19</f>
        <v>2811.98</v>
      </c>
      <c r="T66" s="156"/>
      <c r="U66" s="166"/>
      <c r="V66" s="156"/>
      <c r="W66" s="166"/>
      <c r="X66" s="232">
        <f t="shared" si="11"/>
        <v>6900.21</v>
      </c>
      <c r="Y66" s="233">
        <f>Quantitativo!$D$14+Quantitativo!$D$16</f>
        <v>1682.98</v>
      </c>
      <c r="Z66" s="156"/>
      <c r="AA66" s="166"/>
      <c r="AB66" s="212">
        <f t="shared" si="12"/>
        <v>32034.43</v>
      </c>
      <c r="AC66" s="213">
        <f t="shared" si="2"/>
        <v>7813.279999999999</v>
      </c>
      <c r="AD66" s="188"/>
    </row>
    <row r="67" spans="1:30" s="145" customFormat="1" ht="28.5">
      <c r="A67" s="153" t="str">
        <f>Orcamento!A66</f>
        <v>4.4.2</v>
      </c>
      <c r="B67" s="154" t="str">
        <f>Orcamento!D66</f>
        <v>Projeto de Redes de Água Pluvial  e Drenagem - Regularização</v>
      </c>
      <c r="C67" s="155">
        <f>Orcamento!I66</f>
        <v>3.04</v>
      </c>
      <c r="D67" s="156"/>
      <c r="E67" s="166"/>
      <c r="F67" s="156"/>
      <c r="G67" s="166"/>
      <c r="H67" s="255">
        <f>TRUNC($C67*I67,2)</f>
        <v>5148.24</v>
      </c>
      <c r="I67" s="256">
        <f>Quantitativo!$D$18</f>
        <v>1693.5</v>
      </c>
      <c r="J67" s="156"/>
      <c r="K67" s="166"/>
      <c r="L67" s="243">
        <f t="shared" si="9"/>
        <v>4939.45</v>
      </c>
      <c r="M67" s="244">
        <f>Quantitativo!$D$10+Quantitativo!$D$12</f>
        <v>1624.82</v>
      </c>
      <c r="N67" s="156"/>
      <c r="O67" s="166"/>
      <c r="P67" s="156"/>
      <c r="Q67" s="166"/>
      <c r="R67" s="235">
        <f t="shared" si="10"/>
        <v>8548.41</v>
      </c>
      <c r="S67" s="236">
        <f>Quantitativo!$D$13+Quantitativo!$D$19</f>
        <v>2811.98</v>
      </c>
      <c r="T67" s="156"/>
      <c r="U67" s="166"/>
      <c r="V67" s="156"/>
      <c r="W67" s="166"/>
      <c r="X67" s="232">
        <f t="shared" si="11"/>
        <v>5116.25</v>
      </c>
      <c r="Y67" s="233">
        <f>Quantitativo!$D$14+Quantitativo!$D$16</f>
        <v>1682.98</v>
      </c>
      <c r="Z67" s="156"/>
      <c r="AA67" s="166"/>
      <c r="AB67" s="212">
        <f t="shared" si="12"/>
        <v>23752.35</v>
      </c>
      <c r="AC67" s="213">
        <f t="shared" si="2"/>
        <v>7813.279999999999</v>
      </c>
      <c r="AD67" s="188"/>
    </row>
    <row r="68" spans="1:30" s="145" customFormat="1" ht="28.5">
      <c r="A68" s="153" t="str">
        <f>Orcamento!A67</f>
        <v>4.4.3</v>
      </c>
      <c r="B68" s="154" t="str">
        <f>Orcamento!D67</f>
        <v>Projeto de Sistema Hidraulico de Combate a Incendio - Regularização</v>
      </c>
      <c r="C68" s="155">
        <f>Orcamento!I67</f>
        <v>2.14</v>
      </c>
      <c r="D68" s="156"/>
      <c r="E68" s="166"/>
      <c r="F68" s="156"/>
      <c r="G68" s="166"/>
      <c r="H68" s="255">
        <f>TRUNC($C68*I68,2)</f>
        <v>3624.09</v>
      </c>
      <c r="I68" s="256">
        <f>Quantitativo!$D$18</f>
        <v>1693.5</v>
      </c>
      <c r="J68" s="156"/>
      <c r="K68" s="166"/>
      <c r="L68" s="243">
        <f t="shared" si="9"/>
        <v>3477.11</v>
      </c>
      <c r="M68" s="244">
        <f>Quantitativo!$D$10+Quantitativo!$D$12</f>
        <v>1624.82</v>
      </c>
      <c r="N68" s="156"/>
      <c r="O68" s="166"/>
      <c r="P68" s="156"/>
      <c r="Q68" s="166"/>
      <c r="R68" s="235">
        <f t="shared" si="10"/>
        <v>6017.63</v>
      </c>
      <c r="S68" s="236">
        <f>Quantitativo!$D$13+Quantitativo!$D$19</f>
        <v>2811.98</v>
      </c>
      <c r="T68" s="156"/>
      <c r="U68" s="166"/>
      <c r="V68" s="156"/>
      <c r="W68" s="166"/>
      <c r="X68" s="232">
        <f t="shared" si="11"/>
        <v>3601.57</v>
      </c>
      <c r="Y68" s="233">
        <f>Quantitativo!$D$14+Quantitativo!$D$16</f>
        <v>1682.98</v>
      </c>
      <c r="Z68" s="156"/>
      <c r="AA68" s="166"/>
      <c r="AB68" s="212">
        <f t="shared" si="12"/>
        <v>16720.4</v>
      </c>
      <c r="AC68" s="213">
        <f t="shared" si="2"/>
        <v>7813.279999999999</v>
      </c>
      <c r="AD68" s="188"/>
    </row>
    <row r="69" spans="1:31" s="152" customFormat="1" ht="15">
      <c r="A69" s="147">
        <f>Orcamento!A68</f>
        <v>5</v>
      </c>
      <c r="B69" s="147" t="str">
        <f>Orcamento!D68</f>
        <v>Projetos Executivo e Orçamento</v>
      </c>
      <c r="C69" s="148"/>
      <c r="D69" s="149"/>
      <c r="E69" s="167"/>
      <c r="F69" s="149"/>
      <c r="G69" s="150"/>
      <c r="H69" s="149"/>
      <c r="I69" s="150"/>
      <c r="J69" s="149"/>
      <c r="K69" s="150"/>
      <c r="L69" s="149"/>
      <c r="M69" s="150"/>
      <c r="N69" s="149"/>
      <c r="O69" s="150"/>
      <c r="P69" s="149"/>
      <c r="Q69" s="150"/>
      <c r="R69" s="149"/>
      <c r="S69" s="150"/>
      <c r="T69" s="149"/>
      <c r="U69" s="150"/>
      <c r="V69" s="149"/>
      <c r="W69" s="150"/>
      <c r="X69" s="150"/>
      <c r="Y69" s="150"/>
      <c r="Z69" s="149"/>
      <c r="AA69" s="150"/>
      <c r="AB69" s="214"/>
      <c r="AC69" s="213"/>
      <c r="AD69" s="188"/>
      <c r="AE69" s="145"/>
    </row>
    <row r="70" spans="1:30" s="145" customFormat="1" ht="15">
      <c r="A70" s="153" t="str">
        <f>Orcamento!A69</f>
        <v>5.1</v>
      </c>
      <c r="B70" s="154" t="str">
        <f>Orcamento!D69</f>
        <v>Projeto Estrutural</v>
      </c>
      <c r="C70" s="159"/>
      <c r="D70" s="160"/>
      <c r="E70" s="168"/>
      <c r="F70" s="162"/>
      <c r="G70" s="161"/>
      <c r="H70" s="162"/>
      <c r="I70" s="163"/>
      <c r="J70" s="162"/>
      <c r="K70" s="163"/>
      <c r="L70" s="162"/>
      <c r="M70" s="161"/>
      <c r="N70" s="249"/>
      <c r="O70" s="250"/>
      <c r="P70" s="162"/>
      <c r="Q70" s="161"/>
      <c r="R70" s="162"/>
      <c r="S70" s="161"/>
      <c r="T70" s="241"/>
      <c r="U70" s="242"/>
      <c r="V70" s="162"/>
      <c r="W70" s="161"/>
      <c r="X70" s="161"/>
      <c r="Y70" s="161"/>
      <c r="Z70" s="162"/>
      <c r="AA70" s="225"/>
      <c r="AB70" s="212"/>
      <c r="AC70" s="213"/>
      <c r="AD70" s="188"/>
    </row>
    <row r="71" spans="1:31" s="152" customFormat="1" ht="15">
      <c r="A71" s="153" t="str">
        <f>Orcamento!A70</f>
        <v>5.1.1</v>
      </c>
      <c r="B71" s="154" t="str">
        <f>Orcamento!D70</f>
        <v>Projeto de Fundações</v>
      </c>
      <c r="C71" s="155">
        <f>Orcamento!I70</f>
        <v>9.48</v>
      </c>
      <c r="D71" s="156"/>
      <c r="E71" s="166"/>
      <c r="F71" s="156"/>
      <c r="G71" s="166"/>
      <c r="H71" s="156"/>
      <c r="I71" s="166"/>
      <c r="J71" s="156"/>
      <c r="K71" s="166"/>
      <c r="L71" s="157"/>
      <c r="M71" s="158"/>
      <c r="N71" s="247">
        <f>TRUNC($C71*O71,2)</f>
        <v>5351.46</v>
      </c>
      <c r="O71" s="248">
        <f>Quantitativo!$D$15</f>
        <v>564.5</v>
      </c>
      <c r="P71" s="157"/>
      <c r="Q71" s="158"/>
      <c r="R71" s="157"/>
      <c r="S71" s="158"/>
      <c r="T71" s="239">
        <f>TRUNC($C71*U71,2)</f>
        <v>10603.19</v>
      </c>
      <c r="U71" s="240">
        <f>Quantitativo!$D$11</f>
        <v>1118.48</v>
      </c>
      <c r="V71" s="157"/>
      <c r="W71" s="158"/>
      <c r="X71" s="158"/>
      <c r="Y71" s="158"/>
      <c r="Z71" s="227">
        <f>TRUNC($C71*AA71,2)</f>
        <v>16054.38</v>
      </c>
      <c r="AA71" s="228">
        <f>Quantitativo!$D$17</f>
        <v>1693.5</v>
      </c>
      <c r="AB71" s="212">
        <f>D71+F71+H71+J71+L71+N71+P71+R71+T71+V71+X71+Z71</f>
        <v>32009.03</v>
      </c>
      <c r="AC71" s="213">
        <f t="shared" si="2"/>
        <v>3376.48</v>
      </c>
      <c r="AD71" s="188"/>
      <c r="AE71" s="145"/>
    </row>
    <row r="72" spans="1:30" s="145" customFormat="1" ht="15">
      <c r="A72" s="153" t="str">
        <f>Orcamento!A71</f>
        <v>5.1.2</v>
      </c>
      <c r="B72" s="154" t="str">
        <f>Orcamento!D71</f>
        <v>Projeto de Estruturas Concreto Armado</v>
      </c>
      <c r="C72" s="155">
        <f>Orcamento!I71</f>
        <v>11.41</v>
      </c>
      <c r="D72" s="156"/>
      <c r="E72" s="166"/>
      <c r="F72" s="156"/>
      <c r="G72" s="166"/>
      <c r="H72" s="156"/>
      <c r="I72" s="166"/>
      <c r="J72" s="156"/>
      <c r="K72" s="166"/>
      <c r="L72" s="157"/>
      <c r="M72" s="158"/>
      <c r="N72" s="247">
        <f>TRUNC($C72*O72,2)</f>
        <v>6440.94</v>
      </c>
      <c r="O72" s="248">
        <f>+Quantitativo!$D$15</f>
        <v>564.5</v>
      </c>
      <c r="P72" s="157"/>
      <c r="Q72" s="158"/>
      <c r="R72" s="157"/>
      <c r="S72" s="158"/>
      <c r="T72" s="239">
        <f>TRUNC($C72*U72,2)</f>
        <v>12761.85</v>
      </c>
      <c r="U72" s="240">
        <f>Quantitativo!$D$11</f>
        <v>1118.48</v>
      </c>
      <c r="V72" s="157"/>
      <c r="W72" s="158"/>
      <c r="X72" s="158"/>
      <c r="Y72" s="158"/>
      <c r="Z72" s="227">
        <f>TRUNC($C72*AA72,2)</f>
        <v>19322.83</v>
      </c>
      <c r="AA72" s="228">
        <f>Quantitativo!$D$17</f>
        <v>1693.5</v>
      </c>
      <c r="AB72" s="212">
        <f>D72+F72+H72+J72+L72+N72+P72+R72+T72+V72+X72+Z72</f>
        <v>38525.62</v>
      </c>
      <c r="AC72" s="213">
        <f t="shared" si="2"/>
        <v>3376.48</v>
      </c>
      <c r="AD72" s="188"/>
    </row>
    <row r="73" spans="1:30" s="145" customFormat="1" ht="15">
      <c r="A73" s="153" t="str">
        <f>Orcamento!A72</f>
        <v>5.1.3</v>
      </c>
      <c r="B73" s="154" t="str">
        <f>Orcamento!D72</f>
        <v>Projeto de Estruturas Metálica</v>
      </c>
      <c r="C73" s="155">
        <f>Orcamento!I72</f>
        <v>4.88</v>
      </c>
      <c r="D73" s="156"/>
      <c r="E73" s="166"/>
      <c r="F73" s="156"/>
      <c r="G73" s="166"/>
      <c r="H73" s="156"/>
      <c r="I73" s="166"/>
      <c r="J73" s="156"/>
      <c r="K73" s="166"/>
      <c r="L73" s="157"/>
      <c r="M73" s="158"/>
      <c r="N73" s="247">
        <f>TRUNC($C73*O73,2)</f>
        <v>2754.76</v>
      </c>
      <c r="O73" s="248">
        <f>Quantitativo!$D$15</f>
        <v>564.5</v>
      </c>
      <c r="P73" s="157"/>
      <c r="Q73" s="158"/>
      <c r="R73" s="157"/>
      <c r="S73" s="158"/>
      <c r="T73" s="239">
        <f>TRUNC($C73*U73,2)</f>
        <v>5458.18</v>
      </c>
      <c r="U73" s="240">
        <f>Quantitativo!$D$11</f>
        <v>1118.48</v>
      </c>
      <c r="V73" s="157"/>
      <c r="W73" s="158"/>
      <c r="X73" s="158"/>
      <c r="Y73" s="158"/>
      <c r="Z73" s="227">
        <f>TRUNC($C73*AA73,2)</f>
        <v>8264.28</v>
      </c>
      <c r="AA73" s="228">
        <f>Quantitativo!$D$17</f>
        <v>1693.5</v>
      </c>
      <c r="AB73" s="212">
        <f>D73+F73+H73+J73+L73+N73+P73+R73+T73+V73+X73+Z73</f>
        <v>16477.22</v>
      </c>
      <c r="AC73" s="213">
        <f t="shared" si="2"/>
        <v>3376.48</v>
      </c>
      <c r="AD73" s="188"/>
    </row>
    <row r="74" spans="1:30" s="145" customFormat="1" ht="15">
      <c r="A74" s="153" t="str">
        <f>Orcamento!A73</f>
        <v>5.2</v>
      </c>
      <c r="B74" s="154" t="str">
        <f>Orcamento!D73</f>
        <v>Projeto Elétrico</v>
      </c>
      <c r="C74" s="159"/>
      <c r="D74" s="160"/>
      <c r="E74" s="168"/>
      <c r="F74" s="162"/>
      <c r="G74" s="161"/>
      <c r="H74" s="162"/>
      <c r="I74" s="163"/>
      <c r="J74" s="162"/>
      <c r="K74" s="163"/>
      <c r="L74" s="162"/>
      <c r="M74" s="161"/>
      <c r="N74" s="249"/>
      <c r="O74" s="250"/>
      <c r="P74" s="162"/>
      <c r="Q74" s="161"/>
      <c r="R74" s="162"/>
      <c r="S74" s="161"/>
      <c r="T74" s="241"/>
      <c r="U74" s="242"/>
      <c r="V74" s="162"/>
      <c r="W74" s="161"/>
      <c r="X74" s="161"/>
      <c r="Y74" s="161"/>
      <c r="Z74" s="229"/>
      <c r="AA74" s="230"/>
      <c r="AB74" s="222"/>
      <c r="AC74" s="213"/>
      <c r="AD74" s="188"/>
    </row>
    <row r="75" spans="1:30" s="145" customFormat="1" ht="15">
      <c r="A75" s="153" t="str">
        <f>Orcamento!A74</f>
        <v>5.2.1</v>
      </c>
      <c r="B75" s="154" t="str">
        <f>Orcamento!D74</f>
        <v>Projeto de Entrada Energia</v>
      </c>
      <c r="C75" s="155">
        <f>Orcamento!I74</f>
        <v>1414.88</v>
      </c>
      <c r="D75" s="156"/>
      <c r="E75" s="166"/>
      <c r="F75" s="156"/>
      <c r="G75" s="166"/>
      <c r="H75" s="156"/>
      <c r="I75" s="166"/>
      <c r="J75" s="156"/>
      <c r="K75" s="166"/>
      <c r="L75" s="157"/>
      <c r="M75" s="158"/>
      <c r="N75" s="247">
        <f aca="true" t="shared" si="14" ref="N75:N85">TRUNC($C75*O75,2)</f>
        <v>1414.88</v>
      </c>
      <c r="O75" s="248">
        <v>1</v>
      </c>
      <c r="P75" s="157"/>
      <c r="Q75" s="158"/>
      <c r="R75" s="157"/>
      <c r="S75" s="158"/>
      <c r="T75" s="239">
        <f aca="true" t="shared" si="15" ref="T75:T85">TRUNC($C75*U75,2)</f>
        <v>1414.88</v>
      </c>
      <c r="U75" s="240">
        <v>1</v>
      </c>
      <c r="V75" s="157"/>
      <c r="W75" s="158"/>
      <c r="X75" s="158"/>
      <c r="Y75" s="158"/>
      <c r="Z75" s="227">
        <f aca="true" t="shared" si="16" ref="Z75:Z85">TRUNC($C75*AA75,2)</f>
        <v>1414.88</v>
      </c>
      <c r="AA75" s="231">
        <v>1</v>
      </c>
      <c r="AB75" s="221">
        <f aca="true" t="shared" si="17" ref="AB75:AB85">D75+F75+H75+J75+L75+N75+P75+R75+T75+V75+X75+Z75</f>
        <v>4244.64</v>
      </c>
      <c r="AC75" s="224">
        <f t="shared" si="2"/>
        <v>3</v>
      </c>
      <c r="AD75" s="188"/>
    </row>
    <row r="76" spans="1:30" s="145" customFormat="1" ht="15">
      <c r="A76" s="153" t="str">
        <f>Orcamento!A75</f>
        <v>5.2.2</v>
      </c>
      <c r="B76" s="154" t="str">
        <f>Orcamento!D75</f>
        <v>Projeto de Sistema Emergência</v>
      </c>
      <c r="C76" s="155">
        <f>Orcamento!I75</f>
        <v>1.7</v>
      </c>
      <c r="D76" s="156"/>
      <c r="E76" s="166"/>
      <c r="F76" s="156"/>
      <c r="G76" s="166"/>
      <c r="H76" s="156"/>
      <c r="I76" s="166"/>
      <c r="J76" s="156"/>
      <c r="K76" s="166"/>
      <c r="L76" s="157"/>
      <c r="M76" s="158"/>
      <c r="N76" s="247">
        <f t="shared" si="14"/>
        <v>959.65</v>
      </c>
      <c r="O76" s="248">
        <f>Quantitativo!$D$15</f>
        <v>564.5</v>
      </c>
      <c r="P76" s="157"/>
      <c r="Q76" s="158"/>
      <c r="R76" s="157"/>
      <c r="S76" s="158"/>
      <c r="T76" s="239">
        <f t="shared" si="15"/>
        <v>1901.41</v>
      </c>
      <c r="U76" s="240">
        <f>Quantitativo!$D$11</f>
        <v>1118.48</v>
      </c>
      <c r="V76" s="157"/>
      <c r="W76" s="158"/>
      <c r="X76" s="158"/>
      <c r="Y76" s="158"/>
      <c r="Z76" s="227">
        <f t="shared" si="16"/>
        <v>2878.95</v>
      </c>
      <c r="AA76" s="231">
        <f>Quantitativo!$D$17</f>
        <v>1693.5</v>
      </c>
      <c r="AB76" s="221">
        <f t="shared" si="17"/>
        <v>5740.01</v>
      </c>
      <c r="AC76" s="213">
        <f t="shared" si="2"/>
        <v>3376.48</v>
      </c>
      <c r="AD76" s="188"/>
    </row>
    <row r="77" spans="1:30" s="145" customFormat="1" ht="28.5">
      <c r="A77" s="153" t="str">
        <f>Orcamento!A76</f>
        <v>5.2.3</v>
      </c>
      <c r="B77" s="154" t="str">
        <f>Orcamento!D76</f>
        <v>Projeto de Quadro Geral de Baixa Tensão e Centros de Distribuição</v>
      </c>
      <c r="C77" s="155">
        <f>Orcamento!I76</f>
        <v>1414.88</v>
      </c>
      <c r="D77" s="156"/>
      <c r="E77" s="166"/>
      <c r="F77" s="156"/>
      <c r="G77" s="166"/>
      <c r="H77" s="156"/>
      <c r="I77" s="166"/>
      <c r="J77" s="156"/>
      <c r="K77" s="166"/>
      <c r="L77" s="157"/>
      <c r="M77" s="158"/>
      <c r="N77" s="247">
        <f t="shared" si="14"/>
        <v>1414.88</v>
      </c>
      <c r="O77" s="248">
        <v>1</v>
      </c>
      <c r="P77" s="157"/>
      <c r="Q77" s="158"/>
      <c r="R77" s="157"/>
      <c r="S77" s="158"/>
      <c r="T77" s="239">
        <f t="shared" si="15"/>
        <v>1414.88</v>
      </c>
      <c r="U77" s="240">
        <v>1</v>
      </c>
      <c r="V77" s="157"/>
      <c r="W77" s="158"/>
      <c r="X77" s="158"/>
      <c r="Y77" s="158"/>
      <c r="Z77" s="227">
        <f t="shared" si="16"/>
        <v>1414.88</v>
      </c>
      <c r="AA77" s="231">
        <v>1</v>
      </c>
      <c r="AB77" s="221">
        <f t="shared" si="17"/>
        <v>4244.64</v>
      </c>
      <c r="AC77" s="224">
        <f t="shared" si="2"/>
        <v>3</v>
      </c>
      <c r="AD77" s="188"/>
    </row>
    <row r="78" spans="1:30" s="145" customFormat="1" ht="15">
      <c r="A78" s="153" t="str">
        <f>Orcamento!A77</f>
        <v>5.2.4</v>
      </c>
      <c r="B78" s="154" t="str">
        <f>Orcamento!D77</f>
        <v>Projeto de Instalações de Iluminação e Tomadas</v>
      </c>
      <c r="C78" s="155">
        <f>Orcamento!I77</f>
        <v>5.74</v>
      </c>
      <c r="D78" s="156"/>
      <c r="E78" s="166"/>
      <c r="F78" s="156"/>
      <c r="G78" s="166"/>
      <c r="H78" s="156"/>
      <c r="I78" s="166"/>
      <c r="J78" s="156"/>
      <c r="K78" s="166"/>
      <c r="L78" s="157"/>
      <c r="M78" s="158"/>
      <c r="N78" s="247">
        <f t="shared" si="14"/>
        <v>3240.23</v>
      </c>
      <c r="O78" s="248">
        <f>Quantitativo!$D$15</f>
        <v>564.5</v>
      </c>
      <c r="P78" s="157"/>
      <c r="Q78" s="158"/>
      <c r="R78" s="157"/>
      <c r="S78" s="158"/>
      <c r="T78" s="239">
        <f t="shared" si="15"/>
        <v>6420.07</v>
      </c>
      <c r="U78" s="240">
        <f>Quantitativo!$D$11</f>
        <v>1118.48</v>
      </c>
      <c r="V78" s="157"/>
      <c r="W78" s="158"/>
      <c r="X78" s="158"/>
      <c r="Y78" s="158"/>
      <c r="Z78" s="227">
        <f t="shared" si="16"/>
        <v>9720.69</v>
      </c>
      <c r="AA78" s="231">
        <f>Quantitativo!$D$17</f>
        <v>1693.5</v>
      </c>
      <c r="AB78" s="221">
        <f t="shared" si="17"/>
        <v>19380.989999999998</v>
      </c>
      <c r="AC78" s="213">
        <f t="shared" si="2"/>
        <v>3376.48</v>
      </c>
      <c r="AD78" s="188"/>
    </row>
    <row r="79" spans="1:30" s="145" customFormat="1" ht="15">
      <c r="A79" s="153" t="str">
        <f>Orcamento!A78</f>
        <v>5.2.5</v>
      </c>
      <c r="B79" s="172" t="str">
        <f>Orcamento!D78</f>
        <v>Projeto Luminotécnico de Interiores</v>
      </c>
      <c r="C79" s="155">
        <f>Orcamento!I78</f>
        <v>2.9</v>
      </c>
      <c r="D79" s="156"/>
      <c r="E79" s="166"/>
      <c r="F79" s="156"/>
      <c r="G79" s="166"/>
      <c r="H79" s="156"/>
      <c r="I79" s="166"/>
      <c r="J79" s="156"/>
      <c r="K79" s="166"/>
      <c r="L79" s="157"/>
      <c r="M79" s="158"/>
      <c r="N79" s="247">
        <f>TRUNC($C79*O79,2)</f>
        <v>1637.05</v>
      </c>
      <c r="O79" s="248">
        <f>Quantitativo!$D$15</f>
        <v>564.5</v>
      </c>
      <c r="P79" s="156"/>
      <c r="Q79" s="211"/>
      <c r="R79" s="156"/>
      <c r="S79" s="211"/>
      <c r="T79" s="239">
        <f>TRUNC($C79*U79,2)</f>
        <v>3243.59</v>
      </c>
      <c r="U79" s="240">
        <f>Quantitativo!$D$11</f>
        <v>1118.48</v>
      </c>
      <c r="V79" s="156"/>
      <c r="W79" s="211"/>
      <c r="X79" s="211"/>
      <c r="Y79" s="211"/>
      <c r="Z79" s="227">
        <f>TRUNC($C79*AA79,2)</f>
        <v>4911.15</v>
      </c>
      <c r="AA79" s="228">
        <f>Quantitativo!$D$17</f>
        <v>1693.5</v>
      </c>
      <c r="AB79" s="221">
        <f>D79+F79+H79+J79+L79+N79+P79+R79+T79+V79+X79+Z79</f>
        <v>9791.79</v>
      </c>
      <c r="AC79" s="213">
        <f>E79+G79+I79+K79+M79+O79+Q79+S79+U79+W79+Y79+AA79</f>
        <v>3376.48</v>
      </c>
      <c r="AD79" s="188"/>
    </row>
    <row r="80" spans="1:30" s="145" customFormat="1" ht="15">
      <c r="A80" s="153" t="str">
        <f>Orcamento!A79</f>
        <v>5.2.6</v>
      </c>
      <c r="B80" s="172" t="str">
        <f>Orcamento!D79</f>
        <v>Projeto Luminotécnico de Áreas Externas</v>
      </c>
      <c r="C80" s="155">
        <f>Orcamento!I79</f>
        <v>0.86</v>
      </c>
      <c r="D80" s="156"/>
      <c r="E80" s="166"/>
      <c r="F80" s="156"/>
      <c r="G80" s="166"/>
      <c r="H80" s="156"/>
      <c r="I80" s="166"/>
      <c r="J80" s="156"/>
      <c r="K80" s="166"/>
      <c r="L80" s="157"/>
      <c r="M80" s="158"/>
      <c r="N80" s="247">
        <f>TRUNC($C80*O80,2)</f>
        <v>2730.93</v>
      </c>
      <c r="O80" s="248">
        <f>Quantitativo!$E$15-(Quantitativo!$D$15)</f>
        <v>3175.5</v>
      </c>
      <c r="P80" s="156"/>
      <c r="Q80" s="211"/>
      <c r="R80" s="156"/>
      <c r="S80" s="211"/>
      <c r="T80" s="239">
        <f>TRUNC($C80*U80,2)</f>
        <v>1446.1</v>
      </c>
      <c r="U80" s="240">
        <f>Quantitativo!$E$11-(Quantitativo!$D$11)</f>
        <v>1681.52</v>
      </c>
      <c r="V80" s="156"/>
      <c r="W80" s="211"/>
      <c r="X80" s="211"/>
      <c r="Y80" s="211"/>
      <c r="Z80" s="227">
        <f>TRUNC($C80*AA80,2)</f>
        <v>2184.61</v>
      </c>
      <c r="AA80" s="228">
        <f>Quantitativo!$E$17-(Quantitativo!$D$17)</f>
        <v>2540.25</v>
      </c>
      <c r="AB80" s="221">
        <f>D80+F80+H80+J80+L80+N80+P80+R80+T80+V80+X80+Z80</f>
        <v>6361.639999999999</v>
      </c>
      <c r="AC80" s="213">
        <f>E80+G80+I80+K80+M80+O80+Q80+S80+U80+W80+Y80+AA80</f>
        <v>7397.27</v>
      </c>
      <c r="AD80" s="188"/>
    </row>
    <row r="81" spans="1:30" s="145" customFormat="1" ht="28.5">
      <c r="A81" s="153" t="str">
        <f>Orcamento!A80</f>
        <v>5.2.7</v>
      </c>
      <c r="B81" s="154" t="str">
        <f>Orcamento!D80</f>
        <v>Projeto de Rede Lógica (Cabeamento Estruturado – Voz e Dados)</v>
      </c>
      <c r="C81" s="155">
        <f>Orcamento!I80</f>
        <v>2.22</v>
      </c>
      <c r="D81" s="156"/>
      <c r="E81" s="166"/>
      <c r="F81" s="156"/>
      <c r="G81" s="166"/>
      <c r="H81" s="156"/>
      <c r="I81" s="166"/>
      <c r="J81" s="156"/>
      <c r="K81" s="166"/>
      <c r="L81" s="157"/>
      <c r="M81" s="158"/>
      <c r="N81" s="251">
        <f t="shared" si="14"/>
        <v>1253.19</v>
      </c>
      <c r="O81" s="252">
        <f>Quantitativo!$D$15</f>
        <v>564.5</v>
      </c>
      <c r="P81" s="157"/>
      <c r="Q81" s="158"/>
      <c r="R81" s="157"/>
      <c r="S81" s="158"/>
      <c r="T81" s="239">
        <f t="shared" si="15"/>
        <v>2483.02</v>
      </c>
      <c r="U81" s="240">
        <f>Quantitativo!$D$11</f>
        <v>1118.48</v>
      </c>
      <c r="V81" s="157"/>
      <c r="W81" s="158"/>
      <c r="X81" s="158"/>
      <c r="Y81" s="158"/>
      <c r="Z81" s="227">
        <f t="shared" si="16"/>
        <v>3759.57</v>
      </c>
      <c r="AA81" s="231">
        <f>Quantitativo!$D$17</f>
        <v>1693.5</v>
      </c>
      <c r="AB81" s="221">
        <f>D81+F81+H81+J81+L81+N81+P81+R81+T81+V81+X81+Z81</f>
        <v>7495.780000000001</v>
      </c>
      <c r="AC81" s="213">
        <f t="shared" si="2"/>
        <v>3376.48</v>
      </c>
      <c r="AD81" s="188"/>
    </row>
    <row r="82" spans="1:30" s="145" customFormat="1" ht="28.5">
      <c r="A82" s="153" t="str">
        <f>Orcamento!A81</f>
        <v>5.2.8</v>
      </c>
      <c r="B82" s="154" t="str">
        <f>Orcamento!D81</f>
        <v>Projeto de Sistema de Proteção Contra Descargas Atmosféricas (SPDA)</v>
      </c>
      <c r="C82" s="155">
        <f>Orcamento!I81</f>
        <v>1.17</v>
      </c>
      <c r="D82" s="156"/>
      <c r="E82" s="166"/>
      <c r="F82" s="156"/>
      <c r="G82" s="166"/>
      <c r="H82" s="156"/>
      <c r="I82" s="166"/>
      <c r="J82" s="156"/>
      <c r="K82" s="166"/>
      <c r="L82" s="157"/>
      <c r="M82" s="158"/>
      <c r="N82" s="251">
        <f t="shared" si="14"/>
        <v>660.46</v>
      </c>
      <c r="O82" s="252">
        <f>Quantitativo!$D$15</f>
        <v>564.5</v>
      </c>
      <c r="P82" s="157"/>
      <c r="Q82" s="158"/>
      <c r="R82" s="157"/>
      <c r="S82" s="158"/>
      <c r="T82" s="239">
        <f t="shared" si="15"/>
        <v>1308.62</v>
      </c>
      <c r="U82" s="240">
        <f>Quantitativo!$D$11</f>
        <v>1118.48</v>
      </c>
      <c r="V82" s="157"/>
      <c r="W82" s="158"/>
      <c r="X82" s="158"/>
      <c r="Y82" s="158"/>
      <c r="Z82" s="227">
        <f t="shared" si="16"/>
        <v>1981.39</v>
      </c>
      <c r="AA82" s="231">
        <f>Quantitativo!$D$17</f>
        <v>1693.5</v>
      </c>
      <c r="AB82" s="221">
        <f t="shared" si="17"/>
        <v>3950.4700000000003</v>
      </c>
      <c r="AC82" s="213">
        <f t="shared" si="2"/>
        <v>3376.48</v>
      </c>
      <c r="AD82" s="188"/>
    </row>
    <row r="83" spans="1:30" s="145" customFormat="1" ht="15">
      <c r="A83" s="153" t="str">
        <f>Orcamento!A82</f>
        <v>5.2.9</v>
      </c>
      <c r="B83" s="154" t="str">
        <f>Orcamento!D82</f>
        <v>Projeto de Automação, Alarme e CFTV</v>
      </c>
      <c r="C83" s="155">
        <f>Orcamento!I82</f>
        <v>2.56</v>
      </c>
      <c r="D83" s="156"/>
      <c r="E83" s="166"/>
      <c r="F83" s="156"/>
      <c r="G83" s="166"/>
      <c r="H83" s="156"/>
      <c r="I83" s="166"/>
      <c r="J83" s="156"/>
      <c r="K83" s="166"/>
      <c r="L83" s="157"/>
      <c r="M83" s="158"/>
      <c r="N83" s="251">
        <f t="shared" si="14"/>
        <v>1445.12</v>
      </c>
      <c r="O83" s="252">
        <f>Quantitativo!$D$15</f>
        <v>564.5</v>
      </c>
      <c r="P83" s="157"/>
      <c r="Q83" s="158"/>
      <c r="R83" s="157"/>
      <c r="S83" s="158"/>
      <c r="T83" s="239">
        <f t="shared" si="15"/>
        <v>2863.3</v>
      </c>
      <c r="U83" s="240">
        <f>Quantitativo!$D$11</f>
        <v>1118.48</v>
      </c>
      <c r="V83" s="157"/>
      <c r="W83" s="158"/>
      <c r="X83" s="158"/>
      <c r="Y83" s="158"/>
      <c r="Z83" s="227">
        <f t="shared" si="16"/>
        <v>4335.36</v>
      </c>
      <c r="AA83" s="231">
        <f>Quantitativo!$D$17</f>
        <v>1693.5</v>
      </c>
      <c r="AB83" s="221">
        <f t="shared" si="17"/>
        <v>8643.779999999999</v>
      </c>
      <c r="AC83" s="213">
        <f t="shared" si="2"/>
        <v>3376.48</v>
      </c>
      <c r="AD83" s="188"/>
    </row>
    <row r="84" spans="1:30" s="145" customFormat="1" ht="15">
      <c r="A84" s="153" t="str">
        <f>Orcamento!A83</f>
        <v>5.2.10</v>
      </c>
      <c r="B84" s="154" t="str">
        <f>Orcamento!D83</f>
        <v>Projeto de Energia Fotovoltaica</v>
      </c>
      <c r="C84" s="155">
        <f>Orcamento!I83</f>
        <v>1414.88</v>
      </c>
      <c r="D84" s="156"/>
      <c r="E84" s="166"/>
      <c r="F84" s="156"/>
      <c r="G84" s="166"/>
      <c r="H84" s="156"/>
      <c r="I84" s="166"/>
      <c r="J84" s="156"/>
      <c r="K84" s="166"/>
      <c r="L84" s="157"/>
      <c r="M84" s="158"/>
      <c r="N84" s="251">
        <f t="shared" si="14"/>
        <v>1414.88</v>
      </c>
      <c r="O84" s="252">
        <v>1</v>
      </c>
      <c r="P84" s="157"/>
      <c r="Q84" s="158"/>
      <c r="R84" s="157"/>
      <c r="S84" s="158"/>
      <c r="T84" s="239">
        <f t="shared" si="15"/>
        <v>1414.88</v>
      </c>
      <c r="U84" s="240">
        <v>1</v>
      </c>
      <c r="V84" s="157"/>
      <c r="W84" s="158"/>
      <c r="X84" s="158"/>
      <c r="Y84" s="158"/>
      <c r="Z84" s="227">
        <f t="shared" si="16"/>
        <v>1414.88</v>
      </c>
      <c r="AA84" s="231">
        <v>1</v>
      </c>
      <c r="AB84" s="221">
        <f t="shared" si="17"/>
        <v>4244.64</v>
      </c>
      <c r="AC84" s="224">
        <f t="shared" si="2"/>
        <v>3</v>
      </c>
      <c r="AD84" s="188"/>
    </row>
    <row r="85" spans="1:30" s="145" customFormat="1" ht="15">
      <c r="A85" s="153" t="str">
        <f>Orcamento!A84</f>
        <v>5.2.11</v>
      </c>
      <c r="B85" s="154" t="str">
        <f>Orcamento!D84</f>
        <v>Projeto de Subestação</v>
      </c>
      <c r="C85" s="155">
        <f>Orcamento!I84</f>
        <v>4257.29</v>
      </c>
      <c r="D85" s="156"/>
      <c r="E85" s="166"/>
      <c r="F85" s="156"/>
      <c r="G85" s="166"/>
      <c r="H85" s="156"/>
      <c r="I85" s="166"/>
      <c r="J85" s="156"/>
      <c r="K85" s="166"/>
      <c r="L85" s="157"/>
      <c r="M85" s="158"/>
      <c r="N85" s="251">
        <f t="shared" si="14"/>
        <v>4257.29</v>
      </c>
      <c r="O85" s="252">
        <v>1</v>
      </c>
      <c r="P85" s="157"/>
      <c r="Q85" s="158"/>
      <c r="R85" s="157"/>
      <c r="S85" s="158"/>
      <c r="T85" s="239">
        <f t="shared" si="15"/>
        <v>4257.29</v>
      </c>
      <c r="U85" s="240">
        <v>1</v>
      </c>
      <c r="V85" s="157"/>
      <c r="W85" s="158"/>
      <c r="X85" s="158"/>
      <c r="Y85" s="158"/>
      <c r="Z85" s="227">
        <f t="shared" si="16"/>
        <v>4257.29</v>
      </c>
      <c r="AA85" s="231">
        <v>1</v>
      </c>
      <c r="AB85" s="221">
        <f t="shared" si="17"/>
        <v>12771.869999999999</v>
      </c>
      <c r="AC85" s="224">
        <f t="shared" si="2"/>
        <v>3</v>
      </c>
      <c r="AD85" s="188"/>
    </row>
    <row r="86" spans="1:30" s="145" customFormat="1" ht="15">
      <c r="A86" s="153" t="str">
        <f>Orcamento!A85</f>
        <v>5.3</v>
      </c>
      <c r="B86" s="154" t="str">
        <f>Orcamento!D85</f>
        <v>Projeto Hidrossanitário</v>
      </c>
      <c r="C86" s="159"/>
      <c r="D86" s="160"/>
      <c r="E86" s="168"/>
      <c r="F86" s="162"/>
      <c r="G86" s="161"/>
      <c r="H86" s="162"/>
      <c r="I86" s="163"/>
      <c r="J86" s="162"/>
      <c r="K86" s="163"/>
      <c r="L86" s="162"/>
      <c r="M86" s="161"/>
      <c r="N86" s="253"/>
      <c r="O86" s="254"/>
      <c r="P86" s="162"/>
      <c r="Q86" s="161"/>
      <c r="R86" s="162"/>
      <c r="S86" s="161"/>
      <c r="T86" s="241"/>
      <c r="U86" s="242"/>
      <c r="V86" s="162"/>
      <c r="W86" s="161"/>
      <c r="X86" s="161"/>
      <c r="Y86" s="161"/>
      <c r="Z86" s="229"/>
      <c r="AA86" s="230"/>
      <c r="AB86" s="222"/>
      <c r="AC86" s="213"/>
      <c r="AD86" s="188"/>
    </row>
    <row r="87" spans="1:30" s="145" customFormat="1" ht="15">
      <c r="A87" s="153" t="str">
        <f>Orcamento!A86</f>
        <v>5.3.1</v>
      </c>
      <c r="B87" s="154" t="str">
        <f>Orcamento!D86</f>
        <v>Projeto de Redes de Água Fria e Esgoto Cloacal</v>
      </c>
      <c r="C87" s="155">
        <f>Orcamento!I86</f>
        <v>6.73</v>
      </c>
      <c r="D87" s="156"/>
      <c r="E87" s="166"/>
      <c r="F87" s="156"/>
      <c r="G87" s="166"/>
      <c r="H87" s="156"/>
      <c r="I87" s="166"/>
      <c r="J87" s="156"/>
      <c r="K87" s="166"/>
      <c r="L87" s="157"/>
      <c r="M87" s="158"/>
      <c r="N87" s="251">
        <f>TRUNC($C87*O87,2)</f>
        <v>3799.08</v>
      </c>
      <c r="O87" s="252">
        <f>Quantitativo!$D$15</f>
        <v>564.5</v>
      </c>
      <c r="P87" s="157"/>
      <c r="Q87" s="158"/>
      <c r="R87" s="157"/>
      <c r="S87" s="158"/>
      <c r="T87" s="239">
        <f>TRUNC($C87*U87,2)</f>
        <v>7527.37</v>
      </c>
      <c r="U87" s="240">
        <f>Quantitativo!$D$11</f>
        <v>1118.48</v>
      </c>
      <c r="V87" s="157"/>
      <c r="W87" s="158"/>
      <c r="X87" s="158"/>
      <c r="Y87" s="158"/>
      <c r="Z87" s="227">
        <f>TRUNC($C87*AA87,2)</f>
        <v>11397.25</v>
      </c>
      <c r="AA87" s="231">
        <f>Quantitativo!$D$17</f>
        <v>1693.5</v>
      </c>
      <c r="AB87" s="221">
        <f>D87+F87+H87+J87+L87+N87+P87+R87+T87+V87+X87+Z87</f>
        <v>22723.7</v>
      </c>
      <c r="AC87" s="213">
        <f t="shared" si="2"/>
        <v>3376.48</v>
      </c>
      <c r="AD87" s="188"/>
    </row>
    <row r="88" spans="1:30" s="145" customFormat="1" ht="15">
      <c r="A88" s="153" t="str">
        <f>Orcamento!A88</f>
        <v>5.3.3</v>
      </c>
      <c r="B88" s="154" t="str">
        <f>Orcamento!D88</f>
        <v>Projeto de Sistema Hidraulico de Combate a Incendio</v>
      </c>
      <c r="C88" s="155">
        <f>Orcamento!I87</f>
        <v>4.98</v>
      </c>
      <c r="D88" s="156"/>
      <c r="E88" s="166"/>
      <c r="F88" s="156"/>
      <c r="G88" s="166"/>
      <c r="H88" s="156"/>
      <c r="I88" s="166"/>
      <c r="J88" s="156"/>
      <c r="K88" s="166"/>
      <c r="L88" s="157"/>
      <c r="M88" s="158"/>
      <c r="N88" s="251">
        <f>TRUNC($C88*O88,2)</f>
        <v>18625.2</v>
      </c>
      <c r="O88" s="252">
        <f>Quantitativo!$E$15</f>
        <v>3740</v>
      </c>
      <c r="P88" s="157"/>
      <c r="Q88" s="158"/>
      <c r="R88" s="157"/>
      <c r="S88" s="158"/>
      <c r="T88" s="239">
        <f>TRUNC($C88*U88,2)</f>
        <v>13944</v>
      </c>
      <c r="U88" s="240">
        <f>Quantitativo!$E$11</f>
        <v>2800</v>
      </c>
      <c r="V88" s="157"/>
      <c r="W88" s="158"/>
      <c r="X88" s="158"/>
      <c r="Y88" s="158"/>
      <c r="Z88" s="227">
        <f>TRUNC($C88*AA88,2)</f>
        <v>21084.07</v>
      </c>
      <c r="AA88" s="231">
        <f>Quantitativo!$E$17</f>
        <v>4233.75</v>
      </c>
      <c r="AB88" s="221">
        <f>D88+F88+H88+J88+L88+N88+P88+R88+T88+V88+X88+Z88</f>
        <v>53653.270000000004</v>
      </c>
      <c r="AC88" s="213">
        <f t="shared" si="2"/>
        <v>10773.75</v>
      </c>
      <c r="AD88" s="188"/>
    </row>
    <row r="89" spans="1:30" s="145" customFormat="1" ht="15">
      <c r="A89" s="153" t="str">
        <f>Orcamento!A87</f>
        <v>5.3.2</v>
      </c>
      <c r="B89" s="154" t="str">
        <f>Orcamento!D87</f>
        <v>Projeto de Redes de Água Pluvial  e Drenagem</v>
      </c>
      <c r="C89" s="155">
        <f>Orcamento!I88</f>
        <v>3.46</v>
      </c>
      <c r="D89" s="156"/>
      <c r="E89" s="166"/>
      <c r="F89" s="156"/>
      <c r="G89" s="166"/>
      <c r="H89" s="156"/>
      <c r="I89" s="166"/>
      <c r="J89" s="156"/>
      <c r="K89" s="166"/>
      <c r="L89" s="157"/>
      <c r="M89" s="158"/>
      <c r="N89" s="251">
        <f>TRUNC($C89*O89,2)</f>
        <v>1953.17</v>
      </c>
      <c r="O89" s="252">
        <f>Quantitativo!$D$15</f>
        <v>564.5</v>
      </c>
      <c r="P89" s="157"/>
      <c r="Q89" s="158"/>
      <c r="R89" s="157"/>
      <c r="S89" s="158"/>
      <c r="T89" s="239">
        <f>TRUNC($C89*U89,2)</f>
        <v>3869.94</v>
      </c>
      <c r="U89" s="240">
        <f>Quantitativo!$D$11</f>
        <v>1118.48</v>
      </c>
      <c r="V89" s="157"/>
      <c r="W89" s="158"/>
      <c r="X89" s="158"/>
      <c r="Y89" s="158"/>
      <c r="Z89" s="227">
        <f>TRUNC($C89*AA89,2)</f>
        <v>5859.51</v>
      </c>
      <c r="AA89" s="231">
        <f>Quantitativo!$D$17</f>
        <v>1693.5</v>
      </c>
      <c r="AB89" s="221">
        <f>D89+F89+H89+J89+L89+N89+P89+R89+T89+V89+X89+Z89</f>
        <v>11682.62</v>
      </c>
      <c r="AC89" s="213">
        <f t="shared" si="2"/>
        <v>3376.48</v>
      </c>
      <c r="AD89" s="188"/>
    </row>
    <row r="90" spans="1:30" s="145" customFormat="1" ht="15">
      <c r="A90" s="153" t="str">
        <f>Orcamento!A89</f>
        <v>5.4</v>
      </c>
      <c r="B90" s="154" t="str">
        <f>Orcamento!D89</f>
        <v>Projeto de Prevenção Contra Incêndio</v>
      </c>
      <c r="C90" s="159"/>
      <c r="D90" s="160"/>
      <c r="E90" s="168"/>
      <c r="F90" s="162"/>
      <c r="G90" s="161"/>
      <c r="H90" s="162"/>
      <c r="I90" s="163"/>
      <c r="J90" s="162"/>
      <c r="K90" s="163"/>
      <c r="L90" s="162"/>
      <c r="M90" s="161"/>
      <c r="N90" s="253"/>
      <c r="O90" s="254"/>
      <c r="P90" s="162"/>
      <c r="Q90" s="161"/>
      <c r="R90" s="162"/>
      <c r="S90" s="161"/>
      <c r="T90" s="241"/>
      <c r="U90" s="242"/>
      <c r="V90" s="162"/>
      <c r="W90" s="161"/>
      <c r="X90" s="161"/>
      <c r="Y90" s="161"/>
      <c r="Z90" s="229"/>
      <c r="AA90" s="230"/>
      <c r="AB90" s="222"/>
      <c r="AC90" s="213"/>
      <c r="AD90" s="188"/>
    </row>
    <row r="91" spans="1:30" s="145" customFormat="1" ht="28.5">
      <c r="A91" s="153" t="str">
        <f>Orcamento!A90</f>
        <v>5.4.1</v>
      </c>
      <c r="B91" s="154" t="str">
        <f>Orcamento!D90</f>
        <v>Elaboração e Aprovação do Plano e do Projeto Executivo de Prevenção e Proteção Contra Incêndios</v>
      </c>
      <c r="C91" s="155">
        <f>Orcamento!I90</f>
        <v>6.95</v>
      </c>
      <c r="D91" s="156"/>
      <c r="E91" s="166"/>
      <c r="F91" s="156"/>
      <c r="G91" s="166"/>
      <c r="H91" s="156"/>
      <c r="I91" s="166"/>
      <c r="J91" s="156"/>
      <c r="K91" s="166"/>
      <c r="L91" s="157"/>
      <c r="M91" s="158"/>
      <c r="N91" s="251">
        <f>TRUNC($C91*O91,2)</f>
        <v>3923.27</v>
      </c>
      <c r="O91" s="252">
        <f>Quantitativo!$D$15</f>
        <v>564.5</v>
      </c>
      <c r="P91" s="157"/>
      <c r="Q91" s="158"/>
      <c r="R91" s="157"/>
      <c r="S91" s="158"/>
      <c r="T91" s="239">
        <f>TRUNC($C91*U91,2)</f>
        <v>7773.43</v>
      </c>
      <c r="U91" s="240">
        <f>Quantitativo!$D$11</f>
        <v>1118.48</v>
      </c>
      <c r="V91" s="157"/>
      <c r="W91" s="158"/>
      <c r="X91" s="158"/>
      <c r="Y91" s="158"/>
      <c r="Z91" s="227">
        <f>TRUNC($C91*AA91,2)</f>
        <v>11769.82</v>
      </c>
      <c r="AA91" s="231">
        <f>Quantitativo!$D$17</f>
        <v>1693.5</v>
      </c>
      <c r="AB91" s="221">
        <f>D91+F91+H91+J91+L91+N91+P91+R91+T91+V91+X91+Z91</f>
        <v>23466.52</v>
      </c>
      <c r="AC91" s="213">
        <f t="shared" si="2"/>
        <v>3376.48</v>
      </c>
      <c r="AD91" s="188"/>
    </row>
    <row r="92" spans="1:30" s="145" customFormat="1" ht="15">
      <c r="A92" s="153" t="str">
        <f>Orcamento!A91</f>
        <v>5.5</v>
      </c>
      <c r="B92" s="154" t="str">
        <f>Orcamento!D91</f>
        <v>Projeto Mecânico</v>
      </c>
      <c r="C92" s="159"/>
      <c r="D92" s="160"/>
      <c r="E92" s="168"/>
      <c r="F92" s="162"/>
      <c r="G92" s="161"/>
      <c r="H92" s="162"/>
      <c r="I92" s="163"/>
      <c r="J92" s="162"/>
      <c r="K92" s="163"/>
      <c r="L92" s="162"/>
      <c r="M92" s="161"/>
      <c r="N92" s="253"/>
      <c r="O92" s="254"/>
      <c r="P92" s="162"/>
      <c r="Q92" s="161"/>
      <c r="R92" s="162"/>
      <c r="S92" s="161"/>
      <c r="T92" s="241"/>
      <c r="U92" s="242"/>
      <c r="V92" s="162"/>
      <c r="W92" s="161"/>
      <c r="X92" s="161"/>
      <c r="Y92" s="161"/>
      <c r="Z92" s="229"/>
      <c r="AA92" s="230"/>
      <c r="AB92" s="222"/>
      <c r="AC92" s="213"/>
      <c r="AD92" s="188"/>
    </row>
    <row r="93" spans="1:30" s="145" customFormat="1" ht="15">
      <c r="A93" s="153" t="str">
        <f>Orcamento!A92</f>
        <v>5.5.1</v>
      </c>
      <c r="B93" s="154" t="str">
        <f>Orcamento!D92</f>
        <v>Projeto de Instalações GLP</v>
      </c>
      <c r="C93" s="155">
        <f>Orcamento!I92</f>
        <v>2129.26</v>
      </c>
      <c r="D93" s="156"/>
      <c r="E93" s="166"/>
      <c r="F93" s="156"/>
      <c r="G93" s="166"/>
      <c r="H93" s="156"/>
      <c r="I93" s="166"/>
      <c r="J93" s="156"/>
      <c r="K93" s="166"/>
      <c r="L93" s="157"/>
      <c r="M93" s="158"/>
      <c r="N93" s="251">
        <f>TRUNC($C93*O93,2)</f>
        <v>2129.26</v>
      </c>
      <c r="O93" s="252">
        <v>1</v>
      </c>
      <c r="P93" s="157"/>
      <c r="Q93" s="158"/>
      <c r="R93" s="157"/>
      <c r="S93" s="158"/>
      <c r="T93" s="239">
        <f>TRUNC($C93*U93,2)</f>
        <v>2129.26</v>
      </c>
      <c r="U93" s="240">
        <v>1</v>
      </c>
      <c r="V93" s="157"/>
      <c r="W93" s="158"/>
      <c r="X93" s="158"/>
      <c r="Y93" s="158"/>
      <c r="Z93" s="227">
        <f>TRUNC($C93*AA93,2)</f>
        <v>2129.26</v>
      </c>
      <c r="AA93" s="231">
        <v>1</v>
      </c>
      <c r="AB93" s="221">
        <f>D93+F93+H93+J93+L93+N93+P93+R93+T93+V93+X93+Z93</f>
        <v>6387.780000000001</v>
      </c>
      <c r="AC93" s="224">
        <f aca="true" t="shared" si="18" ref="AC93:AC101">E93+G93+I93+K93+M93+O93+Q93+S93+U93+W93+Y93+AA93</f>
        <v>3</v>
      </c>
      <c r="AD93" s="188"/>
    </row>
    <row r="94" spans="1:30" s="145" customFormat="1" ht="15">
      <c r="A94" s="153" t="str">
        <f>Orcamento!A93</f>
        <v>5.5.2</v>
      </c>
      <c r="B94" s="154" t="str">
        <f>Orcamento!D93</f>
        <v>Projeto de Climatização e Ventilação Mecânica</v>
      </c>
      <c r="C94" s="155">
        <f>Orcamento!I93</f>
        <v>4.76</v>
      </c>
      <c r="D94" s="156"/>
      <c r="E94" s="166"/>
      <c r="F94" s="156"/>
      <c r="G94" s="166"/>
      <c r="H94" s="156"/>
      <c r="I94" s="166"/>
      <c r="J94" s="156"/>
      <c r="K94" s="166"/>
      <c r="L94" s="157"/>
      <c r="M94" s="158"/>
      <c r="N94" s="251">
        <f>TRUNC($C94*O94,2)</f>
        <v>2149.61</v>
      </c>
      <c r="O94" s="252">
        <f>(Quantitativo!$D$15)*0.8</f>
        <v>451.6</v>
      </c>
      <c r="P94" s="157"/>
      <c r="Q94" s="158"/>
      <c r="R94" s="157"/>
      <c r="S94" s="158"/>
      <c r="T94" s="239">
        <f>TRUNC($C94*U94,2)</f>
        <v>4259.17</v>
      </c>
      <c r="U94" s="240">
        <f>(Quantitativo!$D$11)*0.8</f>
        <v>894.7840000000001</v>
      </c>
      <c r="V94" s="157"/>
      <c r="W94" s="158"/>
      <c r="X94" s="158"/>
      <c r="Y94" s="158"/>
      <c r="Z94" s="227">
        <f>TRUNC($C94*AA94,2)</f>
        <v>6448.84</v>
      </c>
      <c r="AA94" s="231">
        <f>(Quantitativo!$D$17)*0.8</f>
        <v>1354.8000000000002</v>
      </c>
      <c r="AB94" s="221">
        <f>D94+F94+H94+J94+L94+N94+P94+R94+T94+V94+X94+Z94</f>
        <v>12857.62</v>
      </c>
      <c r="AC94" s="213">
        <f t="shared" si="18"/>
        <v>2701.184</v>
      </c>
      <c r="AD94" s="188"/>
    </row>
    <row r="95" spans="1:30" s="145" customFormat="1" ht="15">
      <c r="A95" s="153" t="str">
        <f>Orcamento!A94</f>
        <v>5.5.3</v>
      </c>
      <c r="B95" s="154" t="str">
        <f>Orcamento!D94</f>
        <v>Projeto de Elevadores e Plataformas Elevatórias</v>
      </c>
      <c r="C95" s="155">
        <f>Orcamento!I94</f>
        <v>1706.17</v>
      </c>
      <c r="D95" s="156"/>
      <c r="E95" s="166"/>
      <c r="F95" s="156"/>
      <c r="G95" s="166"/>
      <c r="H95" s="156"/>
      <c r="I95" s="166"/>
      <c r="J95" s="156"/>
      <c r="K95" s="166"/>
      <c r="L95" s="157"/>
      <c r="M95" s="158"/>
      <c r="N95" s="251"/>
      <c r="O95" s="252"/>
      <c r="P95" s="157"/>
      <c r="Q95" s="158"/>
      <c r="R95" s="157"/>
      <c r="S95" s="158"/>
      <c r="T95" s="239"/>
      <c r="U95" s="240"/>
      <c r="V95" s="157"/>
      <c r="W95" s="158"/>
      <c r="X95" s="158"/>
      <c r="Y95" s="158"/>
      <c r="Z95" s="227">
        <f>TRUNC($C95*AA95,2)</f>
        <v>1706.17</v>
      </c>
      <c r="AA95" s="231">
        <v>1</v>
      </c>
      <c r="AB95" s="221">
        <f>D95+F95+H95+J95+L95+N95+P95+R95+T95+V95+X95+Z95</f>
        <v>1706.17</v>
      </c>
      <c r="AC95" s="213">
        <f t="shared" si="18"/>
        <v>1</v>
      </c>
      <c r="AD95" s="188"/>
    </row>
    <row r="96" spans="1:30" s="145" customFormat="1" ht="15">
      <c r="A96" s="153" t="str">
        <f>Orcamento!A95</f>
        <v>5.6</v>
      </c>
      <c r="B96" s="154" t="str">
        <f>Orcamento!D95</f>
        <v>Projeto de Áreas Externas</v>
      </c>
      <c r="C96" s="159"/>
      <c r="D96" s="160"/>
      <c r="E96" s="168"/>
      <c r="F96" s="162"/>
      <c r="G96" s="161"/>
      <c r="H96" s="257"/>
      <c r="I96" s="258"/>
      <c r="J96" s="162"/>
      <c r="K96" s="163"/>
      <c r="L96" s="245"/>
      <c r="M96" s="246"/>
      <c r="N96" s="253"/>
      <c r="O96" s="254"/>
      <c r="P96" s="162"/>
      <c r="Q96" s="161"/>
      <c r="R96" s="237"/>
      <c r="S96" s="238"/>
      <c r="T96" s="241"/>
      <c r="U96" s="242"/>
      <c r="V96" s="162"/>
      <c r="W96" s="161"/>
      <c r="X96" s="234"/>
      <c r="Y96" s="234"/>
      <c r="Z96" s="229"/>
      <c r="AA96" s="230"/>
      <c r="AB96" s="222"/>
      <c r="AC96" s="213"/>
      <c r="AD96" s="188"/>
    </row>
    <row r="97" spans="1:30" s="145" customFormat="1" ht="15">
      <c r="A97" s="153" t="str">
        <f>Orcamento!A96</f>
        <v>5.6.1</v>
      </c>
      <c r="B97" s="154" t="str">
        <f>Orcamento!D96</f>
        <v>Projeto de Pavimentações</v>
      </c>
      <c r="C97" s="155">
        <f>Orcamento!I96</f>
        <v>4.23</v>
      </c>
      <c r="D97" s="156"/>
      <c r="E97" s="166"/>
      <c r="F97" s="156"/>
      <c r="G97" s="166"/>
      <c r="H97" s="255">
        <f>TRUNC($C97*I97,2)</f>
        <v>8596.2</v>
      </c>
      <c r="I97" s="256">
        <f>(Quantitativo!$E$18-Quantitativo!$D$18)*0.8</f>
        <v>2032.2</v>
      </c>
      <c r="J97" s="156"/>
      <c r="K97" s="166"/>
      <c r="L97" s="243">
        <f>TRUNC($C97*M97,2)</f>
        <v>10767.82</v>
      </c>
      <c r="M97" s="244">
        <f>(Quantitativo!$E$10+Quantitativo!$E$12-Quantitativo!$D$10-Quantitativo!$D$12)*0.8</f>
        <v>2545.5840000000003</v>
      </c>
      <c r="N97" s="251">
        <f>TRUNC($C97*O97,2)</f>
        <v>10745.89</v>
      </c>
      <c r="O97" s="252">
        <f>(Quantitativo!$E$15-Quantitativo!$D$15)*0.8</f>
        <v>2540.4</v>
      </c>
      <c r="P97" s="157"/>
      <c r="Q97" s="158"/>
      <c r="R97" s="235">
        <f>TRUNC($C97*S97,2)</f>
        <v>15826.18</v>
      </c>
      <c r="S97" s="236">
        <f>(Quantitativo!$E$13+Quantitativo!$E$19-Quantitativo!$D$13-Quantitativo!$D$19)*0.8</f>
        <v>3741.4160000000006</v>
      </c>
      <c r="T97" s="239">
        <f>TRUNC($C97*U97,2)</f>
        <v>5690.26</v>
      </c>
      <c r="U97" s="240">
        <f>(Quantitativo!$E$11-Quantitativo!$D$11)*0.8</f>
        <v>1345.2160000000001</v>
      </c>
      <c r="V97" s="157"/>
      <c r="W97" s="158"/>
      <c r="X97" s="232">
        <f>TRUNC($C97*Y97,2)</f>
        <v>17360.49</v>
      </c>
      <c r="Y97" s="266">
        <f>(Quantitativo!$E$14+Quantitativo!$E$16-Quantitativo!$D$14-Quantitativo!$D$16)*0.8</f>
        <v>4104.136</v>
      </c>
      <c r="Z97" s="227">
        <f>TRUNC($C97*AA97,2)</f>
        <v>8596.2</v>
      </c>
      <c r="AA97" s="231">
        <f>(Quantitativo!$E$17-Quantitativo!$D$17)*0.8</f>
        <v>2032.2</v>
      </c>
      <c r="AB97" s="221">
        <f>D97+F97+H97+J97+L97+N97+P97+R97+T97+V97+X97+Z97</f>
        <v>77583.04</v>
      </c>
      <c r="AC97" s="213">
        <f t="shared" si="18"/>
        <v>18341.152000000002</v>
      </c>
      <c r="AD97" s="188"/>
    </row>
    <row r="98" spans="1:30" s="145" customFormat="1" ht="15">
      <c r="A98" s="153" t="str">
        <f>Orcamento!A97</f>
        <v>5.7</v>
      </c>
      <c r="B98" s="154" t="str">
        <f>Orcamento!D97</f>
        <v>Projeto de Impermeabilização</v>
      </c>
      <c r="C98" s="159"/>
      <c r="D98" s="160"/>
      <c r="E98" s="168"/>
      <c r="F98" s="162"/>
      <c r="G98" s="161"/>
      <c r="H98" s="162"/>
      <c r="I98" s="161"/>
      <c r="J98" s="162"/>
      <c r="K98" s="161"/>
      <c r="L98" s="162"/>
      <c r="M98" s="161"/>
      <c r="N98" s="253"/>
      <c r="O98" s="254"/>
      <c r="P98" s="162"/>
      <c r="Q98" s="161"/>
      <c r="R98" s="162"/>
      <c r="S98" s="161"/>
      <c r="T98" s="241"/>
      <c r="U98" s="242"/>
      <c r="V98" s="162"/>
      <c r="W98" s="161"/>
      <c r="X98" s="161"/>
      <c r="Y98" s="161"/>
      <c r="Z98" s="229"/>
      <c r="AA98" s="230"/>
      <c r="AB98" s="222"/>
      <c r="AC98" s="213"/>
      <c r="AD98" s="188"/>
    </row>
    <row r="99" spans="1:30" s="145" customFormat="1" ht="15">
      <c r="A99" s="153" t="str">
        <f>Orcamento!A98</f>
        <v>5.7.1</v>
      </c>
      <c r="B99" s="154" t="str">
        <f>Orcamento!D98</f>
        <v>Projeto de Impermeabilização</v>
      </c>
      <c r="C99" s="155">
        <f>Orcamento!I98</f>
        <v>10.02</v>
      </c>
      <c r="D99" s="156"/>
      <c r="E99" s="166"/>
      <c r="F99" s="156"/>
      <c r="G99" s="166"/>
      <c r="H99" s="156"/>
      <c r="I99" s="166"/>
      <c r="J99" s="156"/>
      <c r="K99" s="166"/>
      <c r="L99" s="157"/>
      <c r="M99" s="158"/>
      <c r="N99" s="247">
        <f>TRUNC($C99*O99,2)</f>
        <v>1131.25</v>
      </c>
      <c r="O99" s="248">
        <f>(Quantitativo!$D$15)*0.2</f>
        <v>112.9</v>
      </c>
      <c r="P99" s="157"/>
      <c r="Q99" s="158"/>
      <c r="R99" s="157"/>
      <c r="S99" s="158"/>
      <c r="T99" s="239">
        <f>TRUNC($C99*U99,2)</f>
        <v>2241.43</v>
      </c>
      <c r="U99" s="240">
        <f>(Quantitativo!$D$11)*0.2</f>
        <v>223.69600000000003</v>
      </c>
      <c r="V99" s="157"/>
      <c r="W99" s="158"/>
      <c r="X99" s="158"/>
      <c r="Y99" s="158"/>
      <c r="Z99" s="227">
        <f>TRUNC($C99*AA99,2)</f>
        <v>3393.77</v>
      </c>
      <c r="AA99" s="231">
        <f>(Quantitativo!$D$17)*0.2</f>
        <v>338.70000000000005</v>
      </c>
      <c r="AB99" s="221">
        <f>D99+F99+H99+J99+L99+N99+P99+R99+T99+V99+X99+Z99</f>
        <v>6766.45</v>
      </c>
      <c r="AC99" s="213">
        <f>E99+G99+I99+K99+M99+O99+Q99+S99+U99+W99+Y99+AA99</f>
        <v>675.296</v>
      </c>
      <c r="AD99" s="188"/>
    </row>
    <row r="100" spans="1:30" s="145" customFormat="1" ht="15">
      <c r="A100" s="153" t="str">
        <f>Orcamento!A99</f>
        <v>5.8</v>
      </c>
      <c r="B100" s="154" t="str">
        <f>Orcamento!D99</f>
        <v>Orçamentária e Cronograma Físico-Financeiro</v>
      </c>
      <c r="C100" s="159"/>
      <c r="D100" s="160"/>
      <c r="E100" s="168"/>
      <c r="F100" s="162"/>
      <c r="G100" s="161"/>
      <c r="H100" s="257"/>
      <c r="I100" s="258"/>
      <c r="J100" s="162"/>
      <c r="K100" s="163"/>
      <c r="L100" s="245"/>
      <c r="M100" s="246"/>
      <c r="N100" s="253"/>
      <c r="O100" s="254"/>
      <c r="P100" s="162"/>
      <c r="Q100" s="161"/>
      <c r="R100" s="162"/>
      <c r="S100" s="161"/>
      <c r="T100" s="241"/>
      <c r="U100" s="242"/>
      <c r="V100" s="162"/>
      <c r="W100" s="161"/>
      <c r="X100" s="234"/>
      <c r="Y100" s="234"/>
      <c r="Z100" s="229"/>
      <c r="AA100" s="230"/>
      <c r="AB100" s="222"/>
      <c r="AC100" s="213"/>
      <c r="AD100" s="188"/>
    </row>
    <row r="101" spans="1:30" s="145" customFormat="1" ht="15">
      <c r="A101" s="153" t="str">
        <f>Orcamento!A100</f>
        <v>5.8.1</v>
      </c>
      <c r="B101" s="154" t="str">
        <f>Orcamento!D100</f>
        <v>Planilha Orçamentária e Cronograma Físico-Financeiro</v>
      </c>
      <c r="C101" s="155">
        <f>Orcamento!I100</f>
        <v>9.03</v>
      </c>
      <c r="D101" s="156"/>
      <c r="E101" s="166"/>
      <c r="F101" s="156"/>
      <c r="G101" s="166"/>
      <c r="H101" s="255">
        <f>TRUNC($C101*I101,2)</f>
        <v>15292.3</v>
      </c>
      <c r="I101" s="256">
        <f>Quantitativo!$D$18</f>
        <v>1693.5</v>
      </c>
      <c r="J101" s="156"/>
      <c r="K101" s="166"/>
      <c r="L101" s="243">
        <f>TRUNC($C101*M101,2)</f>
        <v>14672.12</v>
      </c>
      <c r="M101" s="244">
        <f>Quantitativo!$D$10+Quantitativo!$D$12</f>
        <v>1624.82</v>
      </c>
      <c r="N101" s="251">
        <f>TRUNC($C101*O101,2)</f>
        <v>5097.43</v>
      </c>
      <c r="O101" s="252">
        <f>Quantitativo!$D$15</f>
        <v>564.5</v>
      </c>
      <c r="P101" s="157"/>
      <c r="Q101" s="158"/>
      <c r="R101" s="235">
        <f>TRUNC($C101*S101,2)</f>
        <v>25392.17</v>
      </c>
      <c r="S101" s="236">
        <f>Quantitativo!$D$13+Quantitativo!$D$19</f>
        <v>2811.98</v>
      </c>
      <c r="T101" s="239">
        <f>TRUNC($C101*U101,2)</f>
        <v>10099.87</v>
      </c>
      <c r="U101" s="240">
        <f>Quantitativo!$D$11</f>
        <v>1118.48</v>
      </c>
      <c r="V101" s="157"/>
      <c r="W101" s="158"/>
      <c r="X101" s="232">
        <f>TRUNC($C101*Y101,2)</f>
        <v>15197.3</v>
      </c>
      <c r="Y101" s="266">
        <f>Quantitativo!$D$14+Quantitativo!$D$16</f>
        <v>1682.98</v>
      </c>
      <c r="Z101" s="227">
        <f>TRUNC($C101*AA101,2)</f>
        <v>15292.3</v>
      </c>
      <c r="AA101" s="231">
        <f>Quantitativo!$D$17</f>
        <v>1693.5</v>
      </c>
      <c r="AB101" s="221">
        <f>D101+F101+H101+J101+L101+N101+P101+R101+T101+V101+X101+Z101</f>
        <v>101043.49</v>
      </c>
      <c r="AC101" s="213">
        <f t="shared" si="18"/>
        <v>11189.759999999998</v>
      </c>
      <c r="AD101" s="188"/>
    </row>
    <row r="102" spans="1:29" s="145" customFormat="1" ht="15">
      <c r="A102" s="165"/>
      <c r="B102" s="275" t="s">
        <v>120</v>
      </c>
      <c r="C102" s="276"/>
      <c r="D102" s="274">
        <f>SUM(D10:D101)</f>
        <v>41772.91</v>
      </c>
      <c r="E102" s="274"/>
      <c r="F102" s="274">
        <f>SUM(F10:F101)</f>
        <v>20999.4</v>
      </c>
      <c r="G102" s="274"/>
      <c r="H102" s="274">
        <f>SUM(H10:H101)</f>
        <v>158740.12000000002</v>
      </c>
      <c r="I102" s="274"/>
      <c r="J102" s="274">
        <f>SUM(J10:J101)</f>
        <v>37775.42</v>
      </c>
      <c r="K102" s="274"/>
      <c r="L102" s="274">
        <f>SUM(L10:L101)</f>
        <v>140666.30999999997</v>
      </c>
      <c r="M102" s="274"/>
      <c r="N102" s="274">
        <f>SUM(N10:N101)</f>
        <v>154231.25</v>
      </c>
      <c r="O102" s="274"/>
      <c r="P102" s="274">
        <f>SUM(P10:P101)</f>
        <v>59173.399999999994</v>
      </c>
      <c r="Q102" s="274"/>
      <c r="R102" s="274">
        <f>SUM(R10:R101)</f>
        <v>203537.06</v>
      </c>
      <c r="S102" s="274"/>
      <c r="T102" s="274">
        <f>SUM(T10:T101)</f>
        <v>168252.01000000004</v>
      </c>
      <c r="U102" s="274"/>
      <c r="V102" s="274">
        <f>SUM(V10:V101)</f>
        <v>46650.56</v>
      </c>
      <c r="W102" s="274"/>
      <c r="X102" s="274">
        <f>SUM(X10:X101)</f>
        <v>149351.73</v>
      </c>
      <c r="Y102" s="274"/>
      <c r="Z102" s="274">
        <f>SUM(Z10:Z101)</f>
        <v>169592.33</v>
      </c>
      <c r="AA102" s="274"/>
      <c r="AB102" s="274">
        <f>SUM(AB10:AB101)</f>
        <v>1350742.5000000007</v>
      </c>
      <c r="AC102" s="274"/>
    </row>
    <row r="103" spans="1:27" s="145" customFormat="1" ht="15">
      <c r="A103" s="165"/>
      <c r="B103" s="277"/>
      <c r="C103" s="278"/>
      <c r="D103" s="268">
        <f>SUM(D11:D101)/Orcamento!$J$101</f>
        <v>0.030925887058414155</v>
      </c>
      <c r="E103" s="269"/>
      <c r="F103" s="268">
        <f>SUM(F11:F101)/Orcamento!$J$101</f>
        <v>0.015546560502834546</v>
      </c>
      <c r="G103" s="269"/>
      <c r="H103" s="268">
        <f>SUM(H11:H101)/Orcamento!$J$101</f>
        <v>0.1175206377233262</v>
      </c>
      <c r="I103" s="269"/>
      <c r="J103" s="268">
        <f>SUM(J11:J101)/Orcamento!$J$101</f>
        <v>0.027966411066506</v>
      </c>
      <c r="K103" s="269"/>
      <c r="L103" s="268">
        <f>SUM(L11:L101)/Orcamento!$J$101</f>
        <v>0.1041399896723468</v>
      </c>
      <c r="M103" s="269"/>
      <c r="N103" s="268">
        <f>SUM(N11:N101)/Orcamento!$J$101</f>
        <v>0.11418256995689402</v>
      </c>
      <c r="O103" s="269"/>
      <c r="P103" s="268">
        <f>SUM(P11:P101)/Orcamento!$J$101</f>
        <v>0.04380805371860289</v>
      </c>
      <c r="Q103" s="269"/>
      <c r="R103" s="268">
        <f>SUM(R11:R101)/Orcamento!$J$101</f>
        <v>0.15068531566897458</v>
      </c>
      <c r="S103" s="269"/>
      <c r="T103" s="268">
        <f>SUM(T11:T101)/Orcamento!$J$101</f>
        <v>0.12456260908352254</v>
      </c>
      <c r="U103" s="269"/>
      <c r="V103" s="268">
        <f>SUM(V11:V101)/Orcamento!$J$101</f>
        <v>0.034536975034101594</v>
      </c>
      <c r="W103" s="269"/>
      <c r="X103" s="268">
        <f>SUM(X11:X101)/Orcamento!$J$101</f>
        <v>0.11057009755745446</v>
      </c>
      <c r="Y103" s="269"/>
      <c r="Z103" s="268">
        <f>SUM(Z11:Z101)/Orcamento!$J$101</f>
        <v>0.1255548929570217</v>
      </c>
      <c r="AA103" s="269"/>
    </row>
    <row r="104" spans="1:27" s="145" customFormat="1" ht="15">
      <c r="A104" s="165"/>
      <c r="B104" s="275" t="s">
        <v>121</v>
      </c>
      <c r="C104" s="276"/>
      <c r="D104" s="274">
        <f>D102</f>
        <v>41772.91</v>
      </c>
      <c r="E104" s="274"/>
      <c r="F104" s="270">
        <f>D104+F102</f>
        <v>62772.310000000005</v>
      </c>
      <c r="G104" s="271"/>
      <c r="H104" s="270">
        <f>F104+H102</f>
        <v>221512.43000000002</v>
      </c>
      <c r="I104" s="271"/>
      <c r="J104" s="270">
        <f>H104+J102</f>
        <v>259287.85000000003</v>
      </c>
      <c r="K104" s="271"/>
      <c r="L104" s="270">
        <f>J104+L102</f>
        <v>399954.16000000003</v>
      </c>
      <c r="M104" s="271"/>
      <c r="N104" s="270">
        <f>L104+N102</f>
        <v>554185.41</v>
      </c>
      <c r="O104" s="271"/>
      <c r="P104" s="270">
        <f>N104+P102</f>
        <v>613358.81</v>
      </c>
      <c r="Q104" s="271"/>
      <c r="R104" s="270">
        <f>P104+R102</f>
        <v>816895.8700000001</v>
      </c>
      <c r="S104" s="271"/>
      <c r="T104" s="270">
        <f>R104+T102</f>
        <v>985147.8800000001</v>
      </c>
      <c r="U104" s="271"/>
      <c r="V104" s="270">
        <f>T104+V102</f>
        <v>1031798.4400000002</v>
      </c>
      <c r="W104" s="271"/>
      <c r="X104" s="270">
        <f>V104+X102</f>
        <v>1181150.1700000002</v>
      </c>
      <c r="Y104" s="271"/>
      <c r="Z104" s="270">
        <f>X104+Z102</f>
        <v>1350742.5000000002</v>
      </c>
      <c r="AA104" s="271"/>
    </row>
    <row r="105" spans="1:27" s="145" customFormat="1" ht="15">
      <c r="A105" s="165"/>
      <c r="B105" s="277"/>
      <c r="C105" s="278"/>
      <c r="D105" s="268">
        <f>D104/Orcamento!$J$101</f>
        <v>0.030925887058414155</v>
      </c>
      <c r="E105" s="269"/>
      <c r="F105" s="268">
        <f>F104/Orcamento!$J$101</f>
        <v>0.0464724475612487</v>
      </c>
      <c r="G105" s="269"/>
      <c r="H105" s="268">
        <f>H104/Orcamento!$J$101</f>
        <v>0.1639930852845749</v>
      </c>
      <c r="I105" s="269"/>
      <c r="J105" s="268">
        <f>J104/Orcamento!$J$101</f>
        <v>0.1919594963510809</v>
      </c>
      <c r="K105" s="269"/>
      <c r="L105" s="268">
        <f>L104/Orcamento!$J$101</f>
        <v>0.2960994860234277</v>
      </c>
      <c r="M105" s="269"/>
      <c r="N105" s="268">
        <f>N104/Orcamento!$J$101</f>
        <v>0.41028205598032175</v>
      </c>
      <c r="O105" s="269"/>
      <c r="P105" s="268">
        <f>P104/Orcamento!$J$101</f>
        <v>0.45409010969892466</v>
      </c>
      <c r="Q105" s="269"/>
      <c r="R105" s="268">
        <f>R104/Orcamento!$J$101</f>
        <v>0.6047754253678993</v>
      </c>
      <c r="S105" s="269"/>
      <c r="T105" s="268">
        <f>T104/Orcamento!$J$101</f>
        <v>0.7293380344514218</v>
      </c>
      <c r="U105" s="269"/>
      <c r="V105" s="268">
        <f>V104/Orcamento!$J$101</f>
        <v>0.7638750094855234</v>
      </c>
      <c r="W105" s="269"/>
      <c r="X105" s="268">
        <f>X104/Orcamento!$J$101</f>
        <v>0.8744451070429778</v>
      </c>
      <c r="Y105" s="269"/>
      <c r="Z105" s="268">
        <f>Z104/Orcamento!$J$101</f>
        <v>0.9999999999999997</v>
      </c>
      <c r="AA105" s="269"/>
    </row>
    <row r="106" spans="1:29" ht="15">
      <c r="A106" s="10"/>
      <c r="B106" s="10"/>
      <c r="C106" s="10"/>
      <c r="D106" s="10"/>
      <c r="E106" s="10"/>
      <c r="AB106" s="10"/>
      <c r="AC106" s="10"/>
    </row>
    <row r="107" spans="1:29" ht="15">
      <c r="A107" s="10"/>
      <c r="B107" s="10"/>
      <c r="C107" s="10"/>
      <c r="D107" s="10"/>
      <c r="E107" s="10"/>
      <c r="AB107" s="10"/>
      <c r="AC107" s="10"/>
    </row>
    <row r="108" spans="1:29" ht="15">
      <c r="A108" s="10"/>
      <c r="B108" s="10"/>
      <c r="C108" s="10"/>
      <c r="D108" s="10"/>
      <c r="E108" s="10"/>
      <c r="AB108" s="10"/>
      <c r="AC108" s="10"/>
    </row>
    <row r="109" spans="1:29" ht="15">
      <c r="A109" s="10"/>
      <c r="B109" s="10"/>
      <c r="C109" s="10"/>
      <c r="D109" s="10"/>
      <c r="E109" s="10"/>
      <c r="AB109" s="10"/>
      <c r="AC109" s="10"/>
    </row>
    <row r="110" spans="1:29" ht="15">
      <c r="A110" s="10"/>
      <c r="B110" s="10"/>
      <c r="C110" s="10"/>
      <c r="D110" s="10"/>
      <c r="E110" s="10"/>
      <c r="AB110" s="10"/>
      <c r="AC110" s="10"/>
    </row>
    <row r="111" spans="1:29" ht="15">
      <c r="A111" s="10"/>
      <c r="B111" s="10"/>
      <c r="C111" s="10"/>
      <c r="D111" s="10"/>
      <c r="E111" s="10"/>
      <c r="AB111" s="10"/>
      <c r="AC111" s="10"/>
    </row>
    <row r="112" spans="1:29" ht="15">
      <c r="A112" s="10"/>
      <c r="B112" s="10"/>
      <c r="C112" s="10"/>
      <c r="D112" s="10"/>
      <c r="E112" s="10"/>
      <c r="AB112" s="10"/>
      <c r="AC112" s="10"/>
    </row>
    <row r="113" spans="1:29" ht="15">
      <c r="A113" s="10"/>
      <c r="B113" s="10"/>
      <c r="C113" s="10"/>
      <c r="D113" s="10"/>
      <c r="E113" s="10"/>
      <c r="AB113" s="10"/>
      <c r="AC113" s="10"/>
    </row>
    <row r="114" spans="1:29" ht="15">
      <c r="A114" s="10"/>
      <c r="B114" s="10"/>
      <c r="C114" s="10"/>
      <c r="D114" s="10"/>
      <c r="E114" s="10"/>
      <c r="AB114" s="10"/>
      <c r="AC114" s="10"/>
    </row>
    <row r="115" spans="1:29" ht="15">
      <c r="A115" s="10"/>
      <c r="B115" s="10"/>
      <c r="C115" s="10"/>
      <c r="D115" s="10"/>
      <c r="E115" s="10"/>
      <c r="AB115" s="10"/>
      <c r="AC115" s="10"/>
    </row>
  </sheetData>
  <sheetProtection/>
  <mergeCells count="67">
    <mergeCell ref="H8:I8"/>
    <mergeCell ref="AB102:AC102"/>
    <mergeCell ref="A8:A9"/>
    <mergeCell ref="B8:B9"/>
    <mergeCell ref="C8:C9"/>
    <mergeCell ref="Z105:AA105"/>
    <mergeCell ref="J8:K8"/>
    <mergeCell ref="J102:K102"/>
    <mergeCell ref="J105:K105"/>
    <mergeCell ref="L8:M8"/>
    <mergeCell ref="Z102:AA102"/>
    <mergeCell ref="F104:G104"/>
    <mergeCell ref="H104:I104"/>
    <mergeCell ref="J104:K104"/>
    <mergeCell ref="X102:Y102"/>
    <mergeCell ref="N103:O103"/>
    <mergeCell ref="P102:Q102"/>
    <mergeCell ref="R102:S102"/>
    <mergeCell ref="L102:M102"/>
    <mergeCell ref="H103:I103"/>
    <mergeCell ref="L105:M105"/>
    <mergeCell ref="H102:I102"/>
    <mergeCell ref="H105:I105"/>
    <mergeCell ref="AB8:AC8"/>
    <mergeCell ref="D102:E102"/>
    <mergeCell ref="L104:M104"/>
    <mergeCell ref="Z104:AA104"/>
    <mergeCell ref="V8:W8"/>
    <mergeCell ref="X8:Y8"/>
    <mergeCell ref="F8:G8"/>
    <mergeCell ref="B102:C103"/>
    <mergeCell ref="B104:C105"/>
    <mergeCell ref="D103:E103"/>
    <mergeCell ref="D105:E105"/>
    <mergeCell ref="D104:E104"/>
    <mergeCell ref="F105:G105"/>
    <mergeCell ref="F103:G103"/>
    <mergeCell ref="J103:K103"/>
    <mergeCell ref="L103:M103"/>
    <mergeCell ref="Z103:AA103"/>
    <mergeCell ref="D8:E8"/>
    <mergeCell ref="F102:G102"/>
    <mergeCell ref="N102:O102"/>
    <mergeCell ref="T102:U102"/>
    <mergeCell ref="Z8:AA8"/>
    <mergeCell ref="V102:W102"/>
    <mergeCell ref="N8:O8"/>
    <mergeCell ref="P8:Q8"/>
    <mergeCell ref="R8:S8"/>
    <mergeCell ref="T8:U8"/>
    <mergeCell ref="P103:Q103"/>
    <mergeCell ref="R103:S103"/>
    <mergeCell ref="T103:U103"/>
    <mergeCell ref="V103:W103"/>
    <mergeCell ref="X103:Y103"/>
    <mergeCell ref="N104:O104"/>
    <mergeCell ref="P104:Q104"/>
    <mergeCell ref="R104:S104"/>
    <mergeCell ref="T104:U104"/>
    <mergeCell ref="V104:W104"/>
    <mergeCell ref="X104:Y104"/>
    <mergeCell ref="N105:O105"/>
    <mergeCell ref="P105:Q105"/>
    <mergeCell ref="R105:S105"/>
    <mergeCell ref="T105:U105"/>
    <mergeCell ref="V105:W105"/>
    <mergeCell ref="X105:Y10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14.57421875" style="0" customWidth="1"/>
    <col min="2" max="2" width="40.140625" style="0" customWidth="1"/>
    <col min="3" max="3" width="10.8515625" style="0" customWidth="1"/>
    <col min="4" max="4" width="13.8515625" style="0" customWidth="1"/>
    <col min="5" max="5" width="29.57421875" style="0" customWidth="1"/>
    <col min="6" max="6" width="21.140625" style="0" bestFit="1" customWidth="1"/>
    <col min="7" max="7" width="61.57421875" style="0" customWidth="1"/>
    <col min="8" max="8" width="18.57421875" style="0" customWidth="1"/>
    <col min="9" max="9" width="10.7109375" style="0" bestFit="1" customWidth="1"/>
  </cols>
  <sheetData>
    <row r="1" spans="1:8" s="28" customFormat="1" ht="19.5" customHeight="1" thickBot="1">
      <c r="A1" s="27"/>
      <c r="B1" s="27" t="s">
        <v>67</v>
      </c>
      <c r="C1" s="27"/>
      <c r="D1" s="27"/>
      <c r="E1" s="27"/>
      <c r="F1" s="27"/>
      <c r="G1" s="27"/>
      <c r="H1" s="27"/>
    </row>
    <row r="2" spans="1:8" s="28" customFormat="1" ht="18.75">
      <c r="A2" s="29"/>
      <c r="B2" s="30" t="s">
        <v>212</v>
      </c>
      <c r="C2" s="30"/>
      <c r="D2" s="30"/>
      <c r="E2" s="30"/>
      <c r="F2" s="30"/>
      <c r="G2" s="30"/>
      <c r="H2" s="31"/>
    </row>
    <row r="3" spans="1:8" s="28" customFormat="1" ht="15">
      <c r="A3" s="32"/>
      <c r="B3" s="207" t="s">
        <v>406</v>
      </c>
      <c r="C3" s="208"/>
      <c r="D3" s="208"/>
      <c r="E3" s="208"/>
      <c r="F3" s="208"/>
      <c r="G3" s="208"/>
      <c r="H3" s="210"/>
    </row>
    <row r="4" spans="1:8" s="28" customFormat="1" ht="15">
      <c r="A4" s="32"/>
      <c r="B4" s="34" t="s">
        <v>105</v>
      </c>
      <c r="C4" s="35"/>
      <c r="D4" s="35"/>
      <c r="E4" s="35"/>
      <c r="F4" s="35"/>
      <c r="G4" s="35"/>
      <c r="H4" s="36"/>
    </row>
    <row r="5" spans="1:8" s="28" customFormat="1" ht="14.25">
      <c r="A5" s="32"/>
      <c r="B5" s="33"/>
      <c r="C5" s="35"/>
      <c r="D5" s="35"/>
      <c r="E5" s="33"/>
      <c r="F5" s="35"/>
      <c r="G5" s="35"/>
      <c r="H5" s="36"/>
    </row>
    <row r="6" spans="1:8" s="28" customFormat="1" ht="18">
      <c r="A6" s="44"/>
      <c r="B6" s="38" t="s">
        <v>424</v>
      </c>
      <c r="D6" s="37"/>
      <c r="E6" s="37"/>
      <c r="F6" s="37"/>
      <c r="G6" s="37"/>
      <c r="H6" s="39"/>
    </row>
    <row r="7" spans="1:8" s="28" customFormat="1" ht="18.75" thickBot="1">
      <c r="A7" s="40"/>
      <c r="B7" s="41"/>
      <c r="C7" s="41"/>
      <c r="D7" s="42"/>
      <c r="E7" s="41"/>
      <c r="F7" s="42"/>
      <c r="G7" s="42"/>
      <c r="H7" s="43"/>
    </row>
    <row r="8" spans="1:8" s="28" customFormat="1" ht="15">
      <c r="A8" s="11"/>
      <c r="B8" s="11"/>
      <c r="C8" s="11"/>
      <c r="D8" s="11"/>
      <c r="E8" s="11"/>
      <c r="F8" s="11"/>
      <c r="G8" s="11"/>
      <c r="H8" s="11"/>
    </row>
    <row r="9" spans="1:8" s="28" customFormat="1" ht="45">
      <c r="A9" s="286" t="s">
        <v>289</v>
      </c>
      <c r="B9" s="286"/>
      <c r="C9" s="127" t="s">
        <v>106</v>
      </c>
      <c r="D9" s="128" t="s">
        <v>135</v>
      </c>
      <c r="E9" s="128" t="s">
        <v>136</v>
      </c>
      <c r="F9" s="11"/>
      <c r="G9" s="11"/>
      <c r="H9" s="11"/>
    </row>
    <row r="10" spans="1:8" s="28" customFormat="1" ht="15">
      <c r="A10" s="91" t="s">
        <v>339</v>
      </c>
      <c r="B10" s="91" t="s">
        <v>108</v>
      </c>
      <c r="C10" s="92" t="s">
        <v>107</v>
      </c>
      <c r="D10" s="93">
        <v>506.34</v>
      </c>
      <c r="E10" s="129">
        <v>1322</v>
      </c>
      <c r="F10" s="11"/>
      <c r="G10" s="11"/>
      <c r="H10" s="11"/>
    </row>
    <row r="11" spans="1:8" s="28" customFormat="1" ht="15">
      <c r="A11" s="91" t="s">
        <v>339</v>
      </c>
      <c r="B11" s="91" t="s">
        <v>109</v>
      </c>
      <c r="C11" s="92" t="s">
        <v>110</v>
      </c>
      <c r="D11" s="93">
        <v>1118.48</v>
      </c>
      <c r="E11" s="129">
        <f>40*70</f>
        <v>2800</v>
      </c>
      <c r="F11" s="11"/>
      <c r="G11" s="11"/>
      <c r="H11" s="11"/>
    </row>
    <row r="12" spans="1:8" s="28" customFormat="1" ht="15">
      <c r="A12" s="91" t="s">
        <v>339</v>
      </c>
      <c r="B12" s="91" t="s">
        <v>113</v>
      </c>
      <c r="C12" s="92" t="s">
        <v>110</v>
      </c>
      <c r="D12" s="93">
        <v>1118.48</v>
      </c>
      <c r="E12" s="129">
        <f>79.2*44</f>
        <v>3484.8</v>
      </c>
      <c r="F12" s="11"/>
      <c r="G12" s="11"/>
      <c r="H12" s="11"/>
    </row>
    <row r="13" spans="1:8" s="28" customFormat="1" ht="15">
      <c r="A13" s="91" t="s">
        <v>339</v>
      </c>
      <c r="B13" s="91" t="s">
        <v>115</v>
      </c>
      <c r="C13" s="92" t="s">
        <v>110</v>
      </c>
      <c r="D13" s="93">
        <v>1118.48</v>
      </c>
      <c r="E13" s="129">
        <f>46.5*(65+5)</f>
        <v>3255</v>
      </c>
      <c r="F13" s="11"/>
      <c r="G13" s="11"/>
      <c r="H13" s="11"/>
    </row>
    <row r="14" spans="1:8" s="28" customFormat="1" ht="15">
      <c r="A14" s="91" t="s">
        <v>339</v>
      </c>
      <c r="B14" s="91" t="s">
        <v>116</v>
      </c>
      <c r="C14" s="92" t="s">
        <v>110</v>
      </c>
      <c r="D14" s="93">
        <v>1118.48</v>
      </c>
      <c r="E14" s="129">
        <f>90.73*55+31*8</f>
        <v>5238.150000000001</v>
      </c>
      <c r="F14" s="11"/>
      <c r="G14" s="11"/>
      <c r="H14" s="11"/>
    </row>
    <row r="15" spans="1:8" s="28" customFormat="1" ht="15">
      <c r="A15" s="91" t="s">
        <v>339</v>
      </c>
      <c r="B15" s="91" t="s">
        <v>111</v>
      </c>
      <c r="C15" s="92" t="s">
        <v>112</v>
      </c>
      <c r="D15" s="93">
        <v>564.5</v>
      </c>
      <c r="E15" s="129">
        <v>3740</v>
      </c>
      <c r="F15" s="11"/>
      <c r="G15" s="11"/>
      <c r="H15" s="11"/>
    </row>
    <row r="16" spans="1:8" s="28" customFormat="1" ht="15">
      <c r="A16" s="91" t="s">
        <v>339</v>
      </c>
      <c r="B16" s="91" t="s">
        <v>114</v>
      </c>
      <c r="C16" s="92" t="s">
        <v>112</v>
      </c>
      <c r="D16" s="93">
        <v>564.5</v>
      </c>
      <c r="E16" s="129">
        <f>45*35</f>
        <v>1575</v>
      </c>
      <c r="F16" s="11"/>
      <c r="G16" s="11"/>
      <c r="H16" s="11"/>
    </row>
    <row r="17" spans="1:8" s="28" customFormat="1" ht="15">
      <c r="A17" s="91" t="s">
        <v>340</v>
      </c>
      <c r="B17" s="91" t="s">
        <v>342</v>
      </c>
      <c r="C17" s="189"/>
      <c r="D17" s="190">
        <f>D16*3</f>
        <v>1693.5</v>
      </c>
      <c r="E17" s="191">
        <f>D17*2.5</f>
        <v>4233.75</v>
      </c>
      <c r="F17" s="11"/>
      <c r="G17" s="11"/>
      <c r="H17" s="11"/>
    </row>
    <row r="18" spans="1:8" s="28" customFormat="1" ht="15">
      <c r="A18" s="91" t="s">
        <v>340</v>
      </c>
      <c r="B18" s="91" t="s">
        <v>341</v>
      </c>
      <c r="C18" s="189"/>
      <c r="D18" s="190">
        <f>D17</f>
        <v>1693.5</v>
      </c>
      <c r="E18" s="191">
        <f>D18*2.5</f>
        <v>4233.75</v>
      </c>
      <c r="F18" s="11"/>
      <c r="G18" s="11"/>
      <c r="H18" s="11"/>
    </row>
    <row r="19" spans="1:8" s="28" customFormat="1" ht="15">
      <c r="A19" s="91" t="s">
        <v>340</v>
      </c>
      <c r="B19" s="91" t="s">
        <v>343</v>
      </c>
      <c r="C19" s="189"/>
      <c r="D19" s="190">
        <f>D17</f>
        <v>1693.5</v>
      </c>
      <c r="E19" s="191">
        <f>D19*2.5</f>
        <v>4233.75</v>
      </c>
      <c r="F19" s="11"/>
      <c r="G19" s="11"/>
      <c r="H19" s="11"/>
    </row>
    <row r="20" spans="1:8" s="28" customFormat="1" ht="15">
      <c r="A20" s="11"/>
      <c r="B20" s="206" t="s">
        <v>35</v>
      </c>
      <c r="C20" s="143"/>
      <c r="D20" s="144">
        <f>SUM(D10:D19)</f>
        <v>11189.76</v>
      </c>
      <c r="E20" s="144">
        <f>SUM(E10:E19)</f>
        <v>34116.2</v>
      </c>
      <c r="F20" s="11"/>
      <c r="G20" s="11"/>
      <c r="H20" s="11"/>
    </row>
    <row r="21" spans="1:8" s="28" customFormat="1" ht="15">
      <c r="A21" s="11"/>
      <c r="B21" s="11"/>
      <c r="C21" s="11"/>
      <c r="D21" s="11"/>
      <c r="E21" s="11"/>
      <c r="F21" s="11"/>
      <c r="G21" s="11"/>
      <c r="H21" s="11"/>
    </row>
  </sheetData>
  <sheetProtection/>
  <mergeCells count="1">
    <mergeCell ref="A9:B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showGridLines="0" zoomScale="70" zoomScaleNormal="70" zoomScalePageLayoutView="0" workbookViewId="0" topLeftCell="A1">
      <selection activeCell="F69" sqref="F69"/>
    </sheetView>
  </sheetViews>
  <sheetFormatPr defaultColWidth="9.140625" defaultRowHeight="15"/>
  <cols>
    <col min="1" max="1" width="77.7109375" style="11" customWidth="1"/>
    <col min="2" max="4" width="20.7109375" style="11" bestFit="1" customWidth="1"/>
    <col min="5" max="16384" width="9.140625" style="11" customWidth="1"/>
  </cols>
  <sheetData>
    <row r="1" spans="1:4" s="28" customFormat="1" ht="21" thickBot="1">
      <c r="A1" s="27" t="s">
        <v>67</v>
      </c>
      <c r="B1" s="27"/>
      <c r="C1" s="27"/>
      <c r="D1" s="27"/>
    </row>
    <row r="2" spans="1:4" s="28" customFormat="1" ht="18.75">
      <c r="A2" s="29" t="s">
        <v>212</v>
      </c>
      <c r="B2" s="30"/>
      <c r="C2" s="30"/>
      <c r="D2" s="31"/>
    </row>
    <row r="3" spans="1:4" s="28" customFormat="1" ht="30" customHeight="1">
      <c r="A3" s="287" t="s">
        <v>405</v>
      </c>
      <c r="B3" s="288"/>
      <c r="C3" s="288"/>
      <c r="D3" s="289"/>
    </row>
    <row r="4" spans="1:4" s="28" customFormat="1" ht="15">
      <c r="A4" s="193" t="s">
        <v>105</v>
      </c>
      <c r="B4" s="35"/>
      <c r="C4" s="35"/>
      <c r="D4" s="200"/>
    </row>
    <row r="5" spans="1:4" s="28" customFormat="1" ht="14.25">
      <c r="A5" s="194"/>
      <c r="B5" s="33"/>
      <c r="C5" s="33"/>
      <c r="D5" s="36"/>
    </row>
    <row r="6" spans="1:4" s="28" customFormat="1" ht="18">
      <c r="A6" s="195" t="s">
        <v>312</v>
      </c>
      <c r="B6" s="37"/>
      <c r="C6" s="37"/>
      <c r="D6" s="39"/>
    </row>
    <row r="7" spans="1:4" s="28" customFormat="1" ht="18.75" thickBot="1">
      <c r="A7" s="40"/>
      <c r="B7" s="41"/>
      <c r="C7" s="41"/>
      <c r="D7" s="43"/>
    </row>
    <row r="8" spans="1:4" s="73" customFormat="1" ht="19.5" customHeight="1">
      <c r="A8" s="132" t="s">
        <v>401</v>
      </c>
      <c r="B8" s="137" t="s">
        <v>6</v>
      </c>
      <c r="C8" s="137" t="s">
        <v>313</v>
      </c>
      <c r="D8" s="137" t="s">
        <v>314</v>
      </c>
    </row>
    <row r="9" spans="1:4" ht="15">
      <c r="A9" s="205" t="s">
        <v>384</v>
      </c>
      <c r="B9" s="260">
        <v>106885.65</v>
      </c>
      <c r="C9" s="196">
        <f aca="true" t="shared" si="0" ref="C9:C32">B9/$B$81</f>
        <v>0.07913103348713764</v>
      </c>
      <c r="D9" s="197">
        <f>C9</f>
        <v>0.07913103348713764</v>
      </c>
    </row>
    <row r="10" spans="1:4" ht="15">
      <c r="A10" s="100" t="s">
        <v>287</v>
      </c>
      <c r="B10" s="260">
        <v>101043.49</v>
      </c>
      <c r="C10" s="196">
        <f t="shared" si="0"/>
        <v>0.07480588639211398</v>
      </c>
      <c r="D10" s="259">
        <f aca="true" t="shared" si="1" ref="D10:D32">C10+D9</f>
        <v>0.15393691987925162</v>
      </c>
    </row>
    <row r="11" spans="1:4" ht="15">
      <c r="A11" s="100" t="s">
        <v>367</v>
      </c>
      <c r="B11" s="260">
        <v>88758.85</v>
      </c>
      <c r="C11" s="196">
        <f t="shared" si="0"/>
        <v>0.06571115516095778</v>
      </c>
      <c r="D11" s="259">
        <f t="shared" si="1"/>
        <v>0.2196480750402094</v>
      </c>
    </row>
    <row r="12" spans="1:4" ht="15">
      <c r="A12" s="100" t="s">
        <v>327</v>
      </c>
      <c r="B12" s="260">
        <v>77583.04</v>
      </c>
      <c r="C12" s="196">
        <f t="shared" si="0"/>
        <v>0.05743732798812506</v>
      </c>
      <c r="D12" s="259">
        <f t="shared" si="1"/>
        <v>0.27708540302833445</v>
      </c>
    </row>
    <row r="13" spans="1:4" ht="15">
      <c r="A13" s="100" t="s">
        <v>385</v>
      </c>
      <c r="B13" s="260">
        <v>53989.75</v>
      </c>
      <c r="C13" s="196">
        <f t="shared" si="0"/>
        <v>0.0399704236743865</v>
      </c>
      <c r="D13" s="259">
        <f t="shared" si="1"/>
        <v>0.317055826702721</v>
      </c>
    </row>
    <row r="14" spans="1:4" ht="15">
      <c r="A14" s="100" t="s">
        <v>161</v>
      </c>
      <c r="B14" s="260">
        <v>53653.270000000004</v>
      </c>
      <c r="C14" s="196">
        <f t="shared" si="0"/>
        <v>0.0397213162390315</v>
      </c>
      <c r="D14" s="259">
        <f t="shared" si="1"/>
        <v>0.3567771429417525</v>
      </c>
    </row>
    <row r="15" spans="1:4" ht="15">
      <c r="A15" s="100" t="s">
        <v>381</v>
      </c>
      <c r="B15" s="260">
        <v>50191.60999999999</v>
      </c>
      <c r="C15" s="196">
        <f t="shared" si="0"/>
        <v>0.037158533177122956</v>
      </c>
      <c r="D15" s="259">
        <f t="shared" si="1"/>
        <v>0.3939356761188755</v>
      </c>
    </row>
    <row r="16" spans="1:4" ht="15">
      <c r="A16" s="100" t="s">
        <v>155</v>
      </c>
      <c r="B16" s="260">
        <v>38525.62</v>
      </c>
      <c r="C16" s="196">
        <f t="shared" si="0"/>
        <v>0.028521809301180655</v>
      </c>
      <c r="D16" s="259">
        <f t="shared" si="1"/>
        <v>0.4224574854200561</v>
      </c>
    </row>
    <row r="17" spans="1:4" ht="15">
      <c r="A17" s="100" t="s">
        <v>387</v>
      </c>
      <c r="B17" s="260">
        <v>38128.8</v>
      </c>
      <c r="C17" s="196">
        <f t="shared" si="0"/>
        <v>0.028228030138979125</v>
      </c>
      <c r="D17" s="259">
        <f t="shared" si="1"/>
        <v>0.45068551555903524</v>
      </c>
    </row>
    <row r="18" spans="1:4" ht="15">
      <c r="A18" s="100" t="s">
        <v>214</v>
      </c>
      <c r="B18" s="260">
        <v>32644.46</v>
      </c>
      <c r="C18" s="196">
        <f t="shared" si="0"/>
        <v>0.024167789197422903</v>
      </c>
      <c r="D18" s="259">
        <f t="shared" si="1"/>
        <v>0.47485330475645815</v>
      </c>
    </row>
    <row r="19" spans="1:4" ht="15">
      <c r="A19" s="100" t="s">
        <v>396</v>
      </c>
      <c r="B19" s="260">
        <v>32034.43</v>
      </c>
      <c r="C19" s="196">
        <f t="shared" si="0"/>
        <v>0.023716163517472803</v>
      </c>
      <c r="D19" s="259">
        <f t="shared" si="1"/>
        <v>0.49856946827393095</v>
      </c>
    </row>
    <row r="20" spans="1:4" ht="15">
      <c r="A20" s="100" t="s">
        <v>78</v>
      </c>
      <c r="B20" s="260">
        <v>32009.03</v>
      </c>
      <c r="C20" s="196">
        <f t="shared" si="0"/>
        <v>0.023697359045117782</v>
      </c>
      <c r="D20" s="259">
        <f t="shared" si="1"/>
        <v>0.5222668273190487</v>
      </c>
    </row>
    <row r="21" spans="1:4" ht="15">
      <c r="A21" s="100" t="s">
        <v>391</v>
      </c>
      <c r="B21" s="260">
        <v>27112.069999999996</v>
      </c>
      <c r="C21" s="196">
        <f t="shared" si="0"/>
        <v>0.020071975228439173</v>
      </c>
      <c r="D21" s="259">
        <f t="shared" si="1"/>
        <v>0.5423388025474879</v>
      </c>
    </row>
    <row r="22" spans="1:4" ht="15">
      <c r="A22" s="100" t="s">
        <v>397</v>
      </c>
      <c r="B22" s="260">
        <v>23752.35</v>
      </c>
      <c r="C22" s="196">
        <f t="shared" si="0"/>
        <v>0.017584661769360188</v>
      </c>
      <c r="D22" s="259">
        <f t="shared" si="1"/>
        <v>0.559923464316848</v>
      </c>
    </row>
    <row r="23" spans="1:4" ht="28.5">
      <c r="A23" s="100" t="s">
        <v>53</v>
      </c>
      <c r="B23" s="260">
        <v>23466.52</v>
      </c>
      <c r="C23" s="196">
        <f t="shared" si="0"/>
        <v>0.017373052228681636</v>
      </c>
      <c r="D23" s="259">
        <f t="shared" si="1"/>
        <v>0.5772965165455297</v>
      </c>
    </row>
    <row r="24" spans="1:4" ht="15">
      <c r="A24" s="100" t="s">
        <v>386</v>
      </c>
      <c r="B24" s="260">
        <v>23205.43</v>
      </c>
      <c r="C24" s="196">
        <f t="shared" si="0"/>
        <v>0.017179758540210296</v>
      </c>
      <c r="D24" s="259">
        <f t="shared" si="1"/>
        <v>0.59447627508574</v>
      </c>
    </row>
    <row r="25" spans="1:4" ht="15">
      <c r="A25" s="100" t="s">
        <v>189</v>
      </c>
      <c r="B25" s="260">
        <v>22831.68</v>
      </c>
      <c r="C25" s="196">
        <f t="shared" si="0"/>
        <v>0.016903058873175312</v>
      </c>
      <c r="D25" s="259">
        <f t="shared" si="1"/>
        <v>0.6113793339589153</v>
      </c>
    </row>
    <row r="26" spans="1:4" ht="15">
      <c r="A26" s="100" t="s">
        <v>157</v>
      </c>
      <c r="B26" s="260">
        <v>22723.7</v>
      </c>
      <c r="C26" s="196">
        <f t="shared" si="0"/>
        <v>0.01682311765565976</v>
      </c>
      <c r="D26" s="259">
        <f t="shared" si="1"/>
        <v>0.6282024516145751</v>
      </c>
    </row>
    <row r="27" spans="1:4" ht="15">
      <c r="A27" s="100" t="s">
        <v>177</v>
      </c>
      <c r="B27" s="260">
        <v>21799.03</v>
      </c>
      <c r="C27" s="196">
        <f t="shared" si="0"/>
        <v>0.016138553425245745</v>
      </c>
      <c r="D27" s="259">
        <f t="shared" si="1"/>
        <v>0.6443410050398208</v>
      </c>
    </row>
    <row r="28" spans="1:4" ht="15">
      <c r="A28" s="100" t="s">
        <v>197</v>
      </c>
      <c r="B28" s="260">
        <v>20786.32</v>
      </c>
      <c r="C28" s="196">
        <f t="shared" si="0"/>
        <v>0.01538881022844843</v>
      </c>
      <c r="D28" s="259">
        <f t="shared" si="1"/>
        <v>0.6597298152682692</v>
      </c>
    </row>
    <row r="29" spans="1:4" ht="15">
      <c r="A29" s="100" t="s">
        <v>164</v>
      </c>
      <c r="B29" s="260">
        <v>19380.989999999998</v>
      </c>
      <c r="C29" s="196">
        <f t="shared" si="0"/>
        <v>0.014348397270390176</v>
      </c>
      <c r="D29" s="259">
        <f t="shared" si="1"/>
        <v>0.6740782125386594</v>
      </c>
    </row>
    <row r="30" spans="1:4" ht="15">
      <c r="A30" s="100" t="s">
        <v>403</v>
      </c>
      <c r="B30" s="260">
        <v>19376.93</v>
      </c>
      <c r="C30" s="196">
        <f t="shared" si="0"/>
        <v>0.014345391516147603</v>
      </c>
      <c r="D30" s="259">
        <f t="shared" si="1"/>
        <v>0.688423604054807</v>
      </c>
    </row>
    <row r="31" spans="1:4" ht="15">
      <c r="A31" s="100" t="s">
        <v>297</v>
      </c>
      <c r="B31" s="260">
        <v>19376.93</v>
      </c>
      <c r="C31" s="196">
        <f t="shared" si="0"/>
        <v>0.014345391516147603</v>
      </c>
      <c r="D31" s="259">
        <f t="shared" si="1"/>
        <v>0.7027689955709545</v>
      </c>
    </row>
    <row r="32" spans="1:4" ht="15">
      <c r="A32" s="100" t="s">
        <v>402</v>
      </c>
      <c r="B32" s="260">
        <v>19376.93</v>
      </c>
      <c r="C32" s="196">
        <f t="shared" si="0"/>
        <v>0.014345391516147603</v>
      </c>
      <c r="D32" s="259">
        <f t="shared" si="1"/>
        <v>0.7171143870871021</v>
      </c>
    </row>
    <row r="33" spans="1:4" ht="15">
      <c r="A33" s="100" t="s">
        <v>294</v>
      </c>
      <c r="B33" s="260">
        <v>19376.93</v>
      </c>
      <c r="C33" s="196">
        <f aca="true" t="shared" si="2" ref="C33:C80">B33/$B$81</f>
        <v>0.014345391516147603</v>
      </c>
      <c r="D33" s="259">
        <f aca="true" t="shared" si="3" ref="D33:D38">C33+D32</f>
        <v>0.7314597786032496</v>
      </c>
    </row>
    <row r="34" spans="1:4" ht="15">
      <c r="A34" s="100" t="s">
        <v>295</v>
      </c>
      <c r="B34" s="260">
        <v>19376.93</v>
      </c>
      <c r="C34" s="196">
        <f t="shared" si="2"/>
        <v>0.014345391516147603</v>
      </c>
      <c r="D34" s="259">
        <f t="shared" si="3"/>
        <v>0.7458051701193972</v>
      </c>
    </row>
    <row r="35" spans="1:4" ht="15">
      <c r="A35" s="100" t="s">
        <v>395</v>
      </c>
      <c r="B35" s="260">
        <v>18036.059999999998</v>
      </c>
      <c r="C35" s="196">
        <f t="shared" si="2"/>
        <v>0.01335270045919189</v>
      </c>
      <c r="D35" s="259">
        <f t="shared" si="3"/>
        <v>0.7591578705785891</v>
      </c>
    </row>
    <row r="36" spans="1:4" ht="15">
      <c r="A36" s="100" t="s">
        <v>290</v>
      </c>
      <c r="B36" s="260">
        <v>17470.8</v>
      </c>
      <c r="C36" s="196">
        <f t="shared" si="2"/>
        <v>0.012934219512601404</v>
      </c>
      <c r="D36" s="259">
        <f t="shared" si="3"/>
        <v>0.7720920900911905</v>
      </c>
    </row>
    <row r="37" spans="1:4" ht="15">
      <c r="A37" s="100" t="s">
        <v>398</v>
      </c>
      <c r="B37" s="260">
        <v>16720.4</v>
      </c>
      <c r="C37" s="196">
        <f t="shared" si="2"/>
        <v>0.012378673211215316</v>
      </c>
      <c r="D37" s="259">
        <f t="shared" si="3"/>
        <v>0.7844707633024058</v>
      </c>
    </row>
    <row r="38" spans="1:4" ht="15">
      <c r="A38" s="100" t="s">
        <v>338</v>
      </c>
      <c r="B38" s="260">
        <v>16477.22</v>
      </c>
      <c r="C38" s="196">
        <f>B38/$B$81</f>
        <v>0.012198638896754935</v>
      </c>
      <c r="D38" s="259">
        <f t="shared" si="3"/>
        <v>0.7966694021991608</v>
      </c>
    </row>
    <row r="39" spans="1:4" ht="15">
      <c r="A39" s="100" t="s">
        <v>334</v>
      </c>
      <c r="B39" s="260">
        <v>14850.999999999998</v>
      </c>
      <c r="C39" s="196">
        <f t="shared" si="2"/>
        <v>0.010994693659228165</v>
      </c>
      <c r="D39" s="259">
        <f aca="true" t="shared" si="4" ref="D39:D47">C39+D38</f>
        <v>0.8076640958583889</v>
      </c>
    </row>
    <row r="40" spans="1:4" ht="15">
      <c r="A40" s="100" t="s">
        <v>414</v>
      </c>
      <c r="B40" s="260">
        <v>13829.489999999998</v>
      </c>
      <c r="C40" s="196">
        <f t="shared" si="2"/>
        <v>0.010238435527126747</v>
      </c>
      <c r="D40" s="259">
        <f t="shared" si="4"/>
        <v>0.8179025313855157</v>
      </c>
    </row>
    <row r="41" spans="1:4" ht="15">
      <c r="A41" s="100" t="s">
        <v>117</v>
      </c>
      <c r="B41" s="260">
        <v>12857.62</v>
      </c>
      <c r="C41" s="196">
        <f t="shared" si="2"/>
        <v>0.00951892755280892</v>
      </c>
      <c r="D41" s="259">
        <f t="shared" si="4"/>
        <v>0.8274214589383246</v>
      </c>
    </row>
    <row r="42" spans="1:4" ht="15">
      <c r="A42" s="100" t="s">
        <v>169</v>
      </c>
      <c r="B42" s="260">
        <v>12771.869999999999</v>
      </c>
      <c r="C42" s="196">
        <f t="shared" si="2"/>
        <v>0.009455443950271796</v>
      </c>
      <c r="D42" s="259">
        <f t="shared" si="4"/>
        <v>0.8368769028885964</v>
      </c>
    </row>
    <row r="43" spans="1:4" ht="15">
      <c r="A43" s="100" t="s">
        <v>394</v>
      </c>
      <c r="B43" s="260">
        <v>12110.560000000001</v>
      </c>
      <c r="C43" s="196">
        <f t="shared" si="2"/>
        <v>0.00896585396550416</v>
      </c>
      <c r="D43" s="259">
        <f t="shared" si="4"/>
        <v>0.8458427568541006</v>
      </c>
    </row>
    <row r="44" spans="1:4" ht="15">
      <c r="A44" s="100" t="s">
        <v>158</v>
      </c>
      <c r="B44" s="260">
        <v>11682.62</v>
      </c>
      <c r="C44" s="196">
        <f t="shared" si="2"/>
        <v>0.008649035622999944</v>
      </c>
      <c r="D44" s="259">
        <f t="shared" si="4"/>
        <v>0.8544917924771005</v>
      </c>
    </row>
    <row r="45" spans="1:4" ht="15">
      <c r="A45" s="100" t="s">
        <v>174</v>
      </c>
      <c r="B45" s="260">
        <v>11096.96</v>
      </c>
      <c r="C45" s="196">
        <f t="shared" si="2"/>
        <v>0.008215451871840859</v>
      </c>
      <c r="D45" s="259">
        <f t="shared" si="4"/>
        <v>0.8627072443489413</v>
      </c>
    </row>
    <row r="46" spans="1:4" ht="28.5">
      <c r="A46" s="100" t="s">
        <v>139</v>
      </c>
      <c r="B46" s="260">
        <v>11085.09</v>
      </c>
      <c r="C46" s="196">
        <f t="shared" si="2"/>
        <v>0.008206664112515895</v>
      </c>
      <c r="D46" s="259">
        <f t="shared" si="4"/>
        <v>0.8709139084614572</v>
      </c>
    </row>
    <row r="47" spans="1:4" ht="28.5">
      <c r="A47" s="100" t="s">
        <v>392</v>
      </c>
      <c r="B47" s="260">
        <v>10469.78</v>
      </c>
      <c r="C47" s="196">
        <f t="shared" si="2"/>
        <v>0.007751129471383333</v>
      </c>
      <c r="D47" s="259">
        <f t="shared" si="4"/>
        <v>0.8786650379328406</v>
      </c>
    </row>
    <row r="48" spans="1:4" ht="15">
      <c r="A48" s="100" t="s">
        <v>412</v>
      </c>
      <c r="B48" s="260">
        <v>9791.79</v>
      </c>
      <c r="C48" s="196">
        <f t="shared" si="2"/>
        <v>0.007249190722880196</v>
      </c>
      <c r="D48" s="259">
        <f aca="true" t="shared" si="5" ref="D48:D80">C48+D47</f>
        <v>0.8859142286557208</v>
      </c>
    </row>
    <row r="49" spans="1:4" ht="15">
      <c r="A49" s="100" t="s">
        <v>170</v>
      </c>
      <c r="B49" s="260">
        <v>8643.779999999999</v>
      </c>
      <c r="C49" s="196">
        <f t="shared" si="2"/>
        <v>0.00639928039578232</v>
      </c>
      <c r="D49" s="259">
        <f t="shared" si="5"/>
        <v>0.8923135090515031</v>
      </c>
    </row>
    <row r="50" spans="1:4" ht="15">
      <c r="A50" s="100" t="s">
        <v>416</v>
      </c>
      <c r="B50" s="260">
        <v>8385.74</v>
      </c>
      <c r="C50" s="196">
        <f t="shared" si="2"/>
        <v>0.006208244724660697</v>
      </c>
      <c r="D50" s="259">
        <f t="shared" si="5"/>
        <v>0.8985217537761638</v>
      </c>
    </row>
    <row r="51" spans="1:4" ht="15">
      <c r="A51" s="100" t="s">
        <v>389</v>
      </c>
      <c r="B51" s="260">
        <v>8047.65</v>
      </c>
      <c r="C51" s="196">
        <f t="shared" si="2"/>
        <v>0.0059579453522784695</v>
      </c>
      <c r="D51" s="259">
        <f t="shared" si="5"/>
        <v>0.9044796991284423</v>
      </c>
    </row>
    <row r="52" spans="1:4" ht="15">
      <c r="A52" s="100" t="s">
        <v>165</v>
      </c>
      <c r="B52" s="260">
        <v>7495.780000000001</v>
      </c>
      <c r="C52" s="196">
        <f t="shared" si="2"/>
        <v>0.00554937747202002</v>
      </c>
      <c r="D52" s="259">
        <f t="shared" si="5"/>
        <v>0.9100290766004623</v>
      </c>
    </row>
    <row r="53" spans="1:4" ht="15">
      <c r="A53" s="100" t="s">
        <v>178</v>
      </c>
      <c r="B53" s="260">
        <v>7305.18</v>
      </c>
      <c r="C53" s="196">
        <f t="shared" si="2"/>
        <v>0.005408269896001645</v>
      </c>
      <c r="D53" s="259">
        <f t="shared" si="5"/>
        <v>0.9154373464964639</v>
      </c>
    </row>
    <row r="54" spans="1:4" ht="15">
      <c r="A54" s="100" t="s">
        <v>196</v>
      </c>
      <c r="B54" s="260">
        <v>7191.89</v>
      </c>
      <c r="C54" s="196">
        <f t="shared" si="2"/>
        <v>0.0053243975072969135</v>
      </c>
      <c r="D54" s="259">
        <f t="shared" si="5"/>
        <v>0.9207617440037609</v>
      </c>
    </row>
    <row r="55" spans="1:4" ht="15">
      <c r="A55" s="100" t="s">
        <v>409</v>
      </c>
      <c r="B55" s="260">
        <v>6766.45</v>
      </c>
      <c r="C55" s="196">
        <f t="shared" si="2"/>
        <v>0.005009429998685908</v>
      </c>
      <c r="D55" s="259">
        <f t="shared" si="5"/>
        <v>0.9257711740024468</v>
      </c>
    </row>
    <row r="56" spans="1:4" ht="15">
      <c r="A56" s="100" t="s">
        <v>328</v>
      </c>
      <c r="B56" s="260">
        <v>6387.780000000001</v>
      </c>
      <c r="C56" s="196">
        <f t="shared" si="2"/>
        <v>0.004729087890549088</v>
      </c>
      <c r="D56" s="259">
        <f t="shared" si="5"/>
        <v>0.9305002618929958</v>
      </c>
    </row>
    <row r="57" spans="1:4" s="73" customFormat="1" ht="14.25" customHeight="1">
      <c r="A57" s="100" t="s">
        <v>413</v>
      </c>
      <c r="B57" s="260">
        <v>6361.639999999999</v>
      </c>
      <c r="C57" s="196">
        <f t="shared" si="2"/>
        <v>0.004709735571361677</v>
      </c>
      <c r="D57" s="259">
        <f t="shared" si="5"/>
        <v>0.9352099974643575</v>
      </c>
    </row>
    <row r="58" spans="1:4" ht="15">
      <c r="A58" s="100" t="s">
        <v>388</v>
      </c>
      <c r="B58" s="260">
        <v>6096.93</v>
      </c>
      <c r="C58" s="196">
        <f t="shared" si="2"/>
        <v>0.0045137618754129685</v>
      </c>
      <c r="D58" s="259">
        <f t="shared" si="5"/>
        <v>0.9397237593397705</v>
      </c>
    </row>
    <row r="59" spans="1:4" ht="28.5">
      <c r="A59" s="100" t="s">
        <v>390</v>
      </c>
      <c r="B59" s="260">
        <v>6096.93</v>
      </c>
      <c r="C59" s="196">
        <f t="shared" si="2"/>
        <v>0.0045137618754129685</v>
      </c>
      <c r="D59" s="259">
        <f t="shared" si="5"/>
        <v>0.9442375212151835</v>
      </c>
    </row>
    <row r="60" spans="1:4" ht="15" customHeight="1">
      <c r="A60" s="100" t="s">
        <v>167</v>
      </c>
      <c r="B60" s="260">
        <v>5740.01</v>
      </c>
      <c r="C60" s="196">
        <f t="shared" si="2"/>
        <v>0.00424952202214708</v>
      </c>
      <c r="D60" s="259">
        <f t="shared" si="5"/>
        <v>0.9484870432373306</v>
      </c>
    </row>
    <row r="61" spans="1:4" ht="28.5">
      <c r="A61" s="100" t="s">
        <v>393</v>
      </c>
      <c r="B61" s="260">
        <v>5703.669999999999</v>
      </c>
      <c r="C61" s="196">
        <f t="shared" si="2"/>
        <v>0.004222618300675369</v>
      </c>
      <c r="D61" s="259">
        <f t="shared" si="5"/>
        <v>0.952709661538006</v>
      </c>
    </row>
    <row r="62" spans="1:4" ht="15">
      <c r="A62" s="100" t="s">
        <v>349</v>
      </c>
      <c r="B62" s="260">
        <v>5332.740000000001</v>
      </c>
      <c r="C62" s="196">
        <f t="shared" si="2"/>
        <v>0.003948006374271929</v>
      </c>
      <c r="D62" s="259">
        <f t="shared" si="5"/>
        <v>0.9566576679122779</v>
      </c>
    </row>
    <row r="63" spans="1:4" ht="15">
      <c r="A63" s="100" t="s">
        <v>198</v>
      </c>
      <c r="B63" s="260">
        <v>5059.2300000000005</v>
      </c>
      <c r="C63" s="196">
        <f t="shared" si="2"/>
        <v>0.0037455177430191183</v>
      </c>
      <c r="D63" s="259">
        <f t="shared" si="5"/>
        <v>0.960403185655297</v>
      </c>
    </row>
    <row r="64" spans="1:4" ht="15">
      <c r="A64" s="100" t="s">
        <v>347</v>
      </c>
      <c r="B64" s="260">
        <v>5004.09</v>
      </c>
      <c r="C64" s="196">
        <f t="shared" si="2"/>
        <v>0.0037046957506704655</v>
      </c>
      <c r="D64" s="259">
        <f t="shared" si="5"/>
        <v>0.9641078814059675</v>
      </c>
    </row>
    <row r="65" spans="1:4" ht="15">
      <c r="A65" s="100" t="s">
        <v>346</v>
      </c>
      <c r="B65" s="260">
        <v>5003.88</v>
      </c>
      <c r="C65" s="196">
        <f t="shared" si="2"/>
        <v>0.0037045402806234356</v>
      </c>
      <c r="D65" s="259">
        <f t="shared" si="5"/>
        <v>0.9678124216865909</v>
      </c>
    </row>
    <row r="66" spans="1:4" ht="18" customHeight="1">
      <c r="A66" s="100" t="s">
        <v>168</v>
      </c>
      <c r="B66" s="260">
        <v>4244.64</v>
      </c>
      <c r="C66" s="196">
        <f t="shared" si="2"/>
        <v>0.0031424494305909534</v>
      </c>
      <c r="D66" s="259">
        <f t="shared" si="5"/>
        <v>0.9709548711171818</v>
      </c>
    </row>
    <row r="67" spans="1:4" ht="15">
      <c r="A67" s="100" t="s">
        <v>163</v>
      </c>
      <c r="B67" s="260">
        <v>4244.64</v>
      </c>
      <c r="C67" s="196">
        <f t="shared" si="2"/>
        <v>0.0031424494305909534</v>
      </c>
      <c r="D67" s="259">
        <f t="shared" si="5"/>
        <v>0.9740973205477728</v>
      </c>
    </row>
    <row r="68" spans="1:4" ht="15">
      <c r="A68" s="100" t="s">
        <v>329</v>
      </c>
      <c r="B68" s="260">
        <v>4244.64</v>
      </c>
      <c r="C68" s="196">
        <f t="shared" si="2"/>
        <v>0.0031424494305909534</v>
      </c>
      <c r="D68" s="259">
        <f t="shared" si="5"/>
        <v>0.9772397699783637</v>
      </c>
    </row>
    <row r="69" spans="1:4" ht="15">
      <c r="A69" s="100" t="s">
        <v>353</v>
      </c>
      <c r="B69" s="260">
        <v>4170.040000000001</v>
      </c>
      <c r="C69" s="196">
        <f t="shared" si="2"/>
        <v>0.0030872205472175502</v>
      </c>
      <c r="D69" s="259">
        <f t="shared" si="5"/>
        <v>0.9803269905255813</v>
      </c>
    </row>
    <row r="70" spans="1:4" ht="15">
      <c r="A70" s="100" t="s">
        <v>166</v>
      </c>
      <c r="B70" s="260">
        <v>3950.4700000000003</v>
      </c>
      <c r="C70" s="196">
        <f t="shared" si="2"/>
        <v>0.00292466550804465</v>
      </c>
      <c r="D70" s="259">
        <f t="shared" si="5"/>
        <v>0.9832516560336259</v>
      </c>
    </row>
    <row r="71" spans="1:4" ht="15">
      <c r="A71" s="100" t="s">
        <v>344</v>
      </c>
      <c r="B71" s="260">
        <v>3335.92</v>
      </c>
      <c r="C71" s="196">
        <f t="shared" si="2"/>
        <v>0.0024696935204156236</v>
      </c>
      <c r="D71" s="259">
        <f t="shared" si="5"/>
        <v>0.9857213495540414</v>
      </c>
    </row>
    <row r="72" spans="1:4" ht="15">
      <c r="A72" s="100" t="s">
        <v>194</v>
      </c>
      <c r="B72" s="260">
        <v>3213.3999999999996</v>
      </c>
      <c r="C72" s="196">
        <f t="shared" si="2"/>
        <v>0.002378987852977159</v>
      </c>
      <c r="D72" s="259">
        <f t="shared" si="5"/>
        <v>0.9881003374070186</v>
      </c>
    </row>
    <row r="73" spans="1:4" ht="15">
      <c r="A73" s="100" t="s">
        <v>350</v>
      </c>
      <c r="B73" s="260">
        <v>2779.84</v>
      </c>
      <c r="C73" s="196">
        <f t="shared" si="2"/>
        <v>0.002058008835881007</v>
      </c>
      <c r="D73" s="259">
        <f t="shared" si="5"/>
        <v>0.9901583462428997</v>
      </c>
    </row>
    <row r="74" spans="1:4" ht="15">
      <c r="A74" s="100" t="s">
        <v>351</v>
      </c>
      <c r="B74" s="260">
        <v>2779.84</v>
      </c>
      <c r="C74" s="196">
        <f t="shared" si="2"/>
        <v>0.002058008835881007</v>
      </c>
      <c r="D74" s="259">
        <f t="shared" si="5"/>
        <v>0.9922163550787807</v>
      </c>
    </row>
    <row r="75" spans="1:4" ht="15">
      <c r="A75" s="100" t="s">
        <v>352</v>
      </c>
      <c r="B75" s="260">
        <v>2779.84</v>
      </c>
      <c r="C75" s="196">
        <f t="shared" si="2"/>
        <v>0.002058008835881007</v>
      </c>
      <c r="D75" s="259">
        <f t="shared" si="5"/>
        <v>0.9942743639146617</v>
      </c>
    </row>
    <row r="76" spans="1:4" ht="15">
      <c r="A76" s="100" t="s">
        <v>348</v>
      </c>
      <c r="B76" s="260">
        <v>2085.0200000000004</v>
      </c>
      <c r="C76" s="196">
        <f t="shared" si="2"/>
        <v>0.0015436102736087751</v>
      </c>
      <c r="D76" s="259">
        <f t="shared" si="5"/>
        <v>0.9958179741882704</v>
      </c>
    </row>
    <row r="77" spans="1:4" ht="15">
      <c r="A77" s="100" t="s">
        <v>160</v>
      </c>
      <c r="B77" s="260">
        <v>1706.17</v>
      </c>
      <c r="C77" s="196">
        <f t="shared" si="2"/>
        <v>0.0012631349054316426</v>
      </c>
      <c r="D77" s="259">
        <f t="shared" si="5"/>
        <v>0.9970811090937021</v>
      </c>
    </row>
    <row r="78" spans="1:4" ht="15">
      <c r="A78" s="100" t="s">
        <v>187</v>
      </c>
      <c r="B78" s="260">
        <v>1606.8000000000002</v>
      </c>
      <c r="C78" s="196">
        <f t="shared" si="2"/>
        <v>0.0011895679598443083</v>
      </c>
      <c r="D78" s="259">
        <f t="shared" si="5"/>
        <v>0.9982706770535463</v>
      </c>
    </row>
    <row r="79" spans="1:4" ht="15">
      <c r="A79" s="101" t="s">
        <v>345</v>
      </c>
      <c r="B79" s="260">
        <v>1250.97</v>
      </c>
      <c r="C79" s="196">
        <f t="shared" si="2"/>
        <v>0.0009261350701558589</v>
      </c>
      <c r="D79" s="259">
        <f t="shared" si="5"/>
        <v>0.9991968121237021</v>
      </c>
    </row>
    <row r="80" spans="1:4" ht="15">
      <c r="A80" s="101" t="s">
        <v>333</v>
      </c>
      <c r="B80" s="260">
        <v>1084.8999999999999</v>
      </c>
      <c r="C80" s="196">
        <f t="shared" si="2"/>
        <v>0.000803187876297666</v>
      </c>
      <c r="D80" s="259">
        <f t="shared" si="5"/>
        <v>0.9999999999999998</v>
      </c>
    </row>
    <row r="81" spans="1:2" ht="15">
      <c r="A81" s="198" t="s">
        <v>35</v>
      </c>
      <c r="B81" s="261">
        <f>SUM(B9:B80)</f>
        <v>1350742.4999999998</v>
      </c>
    </row>
  </sheetData>
  <sheetProtection/>
  <mergeCells count="1">
    <mergeCell ref="A3:D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Demitrio Rabelo Fleck</dc:creator>
  <cp:keywords/>
  <dc:description/>
  <cp:lastModifiedBy>Usuario</cp:lastModifiedBy>
  <dcterms:created xsi:type="dcterms:W3CDTF">2019-06-17T13:06:13Z</dcterms:created>
  <dcterms:modified xsi:type="dcterms:W3CDTF">2021-11-09T19:44:07Z</dcterms:modified>
  <cp:category/>
  <cp:version/>
  <cp:contentType/>
  <cp:contentStatus/>
</cp:coreProperties>
</file>