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240" yWindow="120" windowWidth="14880" windowHeight="7935" tabRatio="922" activeTab="1"/>
  </bookViews>
  <sheets>
    <sheet name="Instruções iniciais" sheetId="80" r:id="rId1"/>
    <sheet name="Tarifa Teto Calculada" sheetId="18" r:id="rId2"/>
    <sheet name="01 Preços" sheetId="40" r:id="rId3"/>
    <sheet name="02 Coeficientes" sheetId="38" r:id="rId4"/>
    <sheet name="03 Dados_Oper" sheetId="48" r:id="rId5"/>
    <sheet name="04 Frota" sheetId="81" r:id="rId6"/>
    <sheet name="05 CustVar" sheetId="41" r:id="rId7"/>
    <sheet name="06 CustPeças&amp;Aces" sheetId="49" r:id="rId8"/>
    <sheet name="07 Deprec." sheetId="39" r:id="rId9"/>
    <sheet name="08 Remun." sheetId="71" r:id="rId10"/>
    <sheet name="09 CustosPessoal" sheetId="43" r:id="rId11"/>
    <sheet name="10 CustosAdmin" sheetId="45" r:id="rId12"/>
    <sheet name="Aux.02.01 Coef_Depr" sheetId="85" r:id="rId13"/>
    <sheet name="Aux.02.02 Coef_Remun" sheetId="86" r:id="rId14"/>
    <sheet name="Aux.02.03 Ativo Imobilizado" sheetId="87" r:id="rId15"/>
    <sheet name="Aux.02.04 Terrenos" sheetId="88" r:id="rId16"/>
    <sheet name="Aux.02.05 Almoxarifado" sheetId="89" r:id="rId17"/>
    <sheet name="Aux.02.06 Invest_inicial" sheetId="90" r:id="rId18"/>
    <sheet name="Aux.04.01 Frota atual" sheetId="82" r:id="rId19"/>
    <sheet name="Aux.04.02 Frota necessária" sheetId="83" r:id="rId20"/>
    <sheet name="Aux.04.03 Frota início oper" sheetId="84" r:id="rId21"/>
  </sheets>
  <externalReferences>
    <externalReference r:id="rId22"/>
    <externalReference r:id="rId23"/>
    <externalReference r:id="rId24"/>
    <externalReference r:id="rId25"/>
  </externalReferences>
  <definedNames>
    <definedName name="_10empréstimo_19_1">#N/A</definedName>
    <definedName name="_11frota_2_1">#N/A</definedName>
    <definedName name="_12inflação_11_1">#N/A</definedName>
    <definedName name="_13inflação_19_1">#N/A</definedName>
    <definedName name="_14prazo_11_1">#N/A</definedName>
    <definedName name="_15prazo_19_1">#N/A</definedName>
    <definedName name="_16salário_11_1">#N/A</definedName>
    <definedName name="_17salário_19_1">#N/A</definedName>
    <definedName name="_18taxa_11_1">#N/A</definedName>
    <definedName name="_19taxa_19_1">#N/A</definedName>
    <definedName name="_1aumentos_11_1">#N/A</definedName>
    <definedName name="_2aumentos_19_1">#N/A</definedName>
    <definedName name="_3carência_11_1">#N/A</definedName>
    <definedName name="_4carência_19_1">#N/A</definedName>
    <definedName name="_5carência_salário_11_1">#N/A</definedName>
    <definedName name="_6carência_salário_19_1">#N/A</definedName>
    <definedName name="_7carência_sd_11_1">#N/A</definedName>
    <definedName name="_8carência_sd_19_1">#N/A</definedName>
    <definedName name="_9empréstimo_11_1">#N/A</definedName>
    <definedName name="ANOFROTA" localSheetId="9">#REF!</definedName>
    <definedName name="ANOFROTA" localSheetId="13">#REF!</definedName>
    <definedName name="ANOFROTA" localSheetId="15">#REF!</definedName>
    <definedName name="ANOFROTA" localSheetId="20">#REF!</definedName>
    <definedName name="ANOFROTA" localSheetId="0">#REF!</definedName>
    <definedName name="ANOFROTA">#REF!</definedName>
    <definedName name="_xlnm.Print_Area" localSheetId="2">'01 Preços'!$A$1:$E$23</definedName>
    <definedName name="_xlnm.Print_Area" localSheetId="3">'02 Coeficientes'!$A$1:$G$76</definedName>
    <definedName name="_xlnm.Print_Area" localSheetId="4">'03 Dados_Oper'!$A$1:$J$51</definedName>
    <definedName name="_xlnm.Print_Area" localSheetId="12">'Aux.02.01 Coef_Depr'!$A$1:$D$36</definedName>
    <definedName name="_xlnm.Print_Area" localSheetId="13">'Aux.02.02 Coef_Remun'!$A$1:$D$34</definedName>
    <definedName name="_xlnm.Print_Area" localSheetId="17">'Aux.02.06 Invest_inicial'!$A$1:$D$44</definedName>
    <definedName name="_xlnm.Print_Area" localSheetId="1">'Tarifa Teto Calculada'!$A$1:$D$36</definedName>
    <definedName name="aumentos">#N/A</definedName>
    <definedName name="aumentos_1">#N/A</definedName>
    <definedName name="aumentos_10" localSheetId="20">#REF!</definedName>
    <definedName name="aumentos_10">#REF!</definedName>
    <definedName name="aumentos_11" localSheetId="20">#REF!</definedName>
    <definedName name="aumentos_11">#REF!</definedName>
    <definedName name="aumentos_11_1">NA()</definedName>
    <definedName name="aumentos_12" localSheetId="20">#REF!</definedName>
    <definedName name="aumentos_12">#REF!</definedName>
    <definedName name="aumentos_19" localSheetId="20">#REF!</definedName>
    <definedName name="aumentos_19">#REF!</definedName>
    <definedName name="aumentos_34" localSheetId="20">#REF!</definedName>
    <definedName name="aumentos_34">#REF!</definedName>
    <definedName name="aumentos_35" localSheetId="20">#REF!</definedName>
    <definedName name="aumentos_35">#REF!</definedName>
    <definedName name="aumentos_36" localSheetId="20">#REF!</definedName>
    <definedName name="aumentos_36">#REF!</definedName>
    <definedName name="aumentos_37" localSheetId="20">#REF!</definedName>
    <definedName name="aumentos_37">#REF!</definedName>
    <definedName name="aumentos_38" localSheetId="20">#REF!</definedName>
    <definedName name="aumentos_38">#REF!</definedName>
    <definedName name="aumentos_39" localSheetId="20">#REF!</definedName>
    <definedName name="aumentos_39">#REF!</definedName>
    <definedName name="aumentos_5" localSheetId="20">#REF!</definedName>
    <definedName name="aumentos_5">#REF!</definedName>
    <definedName name="aumentos_58" localSheetId="20">#REF!</definedName>
    <definedName name="aumentos_58">#REF!</definedName>
    <definedName name="aumentos_59" localSheetId="20">#REF!</definedName>
    <definedName name="aumentos_59">#REF!</definedName>
    <definedName name="aumentos_6" localSheetId="20">#REF!</definedName>
    <definedName name="aumentos_6">#REF!</definedName>
    <definedName name="aumentos_60" localSheetId="20">#REF!</definedName>
    <definedName name="aumentos_60">#REF!</definedName>
    <definedName name="aumentos_61" localSheetId="20">#REF!</definedName>
    <definedName name="aumentos_61">#REF!</definedName>
    <definedName name="aumentos_62" localSheetId="20">#REF!</definedName>
    <definedName name="aumentos_62">#REF!</definedName>
    <definedName name="aumentos_7">#N/A</definedName>
    <definedName name="aumentos_8">#N/A</definedName>
    <definedName name="aumentos_85" localSheetId="20">#REF!</definedName>
    <definedName name="aumentos_85">#REF!</definedName>
    <definedName name="aumentos_86" localSheetId="20">#REF!</definedName>
    <definedName name="aumentos_86">#REF!</definedName>
    <definedName name="aumentos_87" localSheetId="20">#REF!</definedName>
    <definedName name="aumentos_87">#REF!</definedName>
    <definedName name="aumentos_88" localSheetId="20">#REF!</definedName>
    <definedName name="aumentos_88">#REF!</definedName>
    <definedName name="aumentos_89" localSheetId="20">#REF!</definedName>
    <definedName name="aumentos_89">#REF!</definedName>
    <definedName name="aumentos_9">#N/A</definedName>
    <definedName name="CALC_TRF" localSheetId="9">#REF!</definedName>
    <definedName name="CALC_TRF" localSheetId="13">#REF!</definedName>
    <definedName name="CALC_TRF" localSheetId="15">#REF!</definedName>
    <definedName name="CALC_TRF" localSheetId="20">#REF!</definedName>
    <definedName name="CALC_TRF" localSheetId="0">#REF!</definedName>
    <definedName name="CALC_TRF">#REF!</definedName>
    <definedName name="carência">#N/A</definedName>
    <definedName name="carência_10" localSheetId="20">#REF!</definedName>
    <definedName name="carência_10">#REF!</definedName>
    <definedName name="carência_11" localSheetId="20">#REF!</definedName>
    <definedName name="carência_11">#REF!</definedName>
    <definedName name="carência_11_1">NA()</definedName>
    <definedName name="carência_12" localSheetId="20">#REF!</definedName>
    <definedName name="carência_12">#REF!</definedName>
    <definedName name="carência_18" localSheetId="20">#REF!</definedName>
    <definedName name="carência_18">#REF!</definedName>
    <definedName name="carência_19" localSheetId="20">#REF!</definedName>
    <definedName name="carência_19">#REF!</definedName>
    <definedName name="carência_20" localSheetId="20">#REF!</definedName>
    <definedName name="carência_20">#REF!</definedName>
    <definedName name="carência_21" localSheetId="20">#REF!</definedName>
    <definedName name="carência_21">#REF!</definedName>
    <definedName name="carência_22" localSheetId="20">#REF!</definedName>
    <definedName name="carência_22">#REF!</definedName>
    <definedName name="carência_23" localSheetId="20">#REF!</definedName>
    <definedName name="carência_23">#REF!</definedName>
    <definedName name="carência_24" localSheetId="20">#REF!</definedName>
    <definedName name="carência_24">#REF!</definedName>
    <definedName name="carência_25" localSheetId="20">#REF!</definedName>
    <definedName name="carência_25">#REF!</definedName>
    <definedName name="carência_26" localSheetId="20">#REF!</definedName>
    <definedName name="carência_26">#REF!</definedName>
    <definedName name="carência_27" localSheetId="20">#REF!</definedName>
    <definedName name="carência_27">#REF!</definedName>
    <definedName name="carência_28" localSheetId="20">#REF!</definedName>
    <definedName name="carência_28">#REF!</definedName>
    <definedName name="carência_29" localSheetId="20">#REF!</definedName>
    <definedName name="carência_29">#REF!</definedName>
    <definedName name="carência_30" localSheetId="20">#REF!</definedName>
    <definedName name="carência_30">#REF!</definedName>
    <definedName name="carência_31" localSheetId="20">#REF!</definedName>
    <definedName name="carência_31">#REF!</definedName>
    <definedName name="carência_32" localSheetId="20">#REF!</definedName>
    <definedName name="carência_32">#REF!</definedName>
    <definedName name="carência_33" localSheetId="20">#REF!</definedName>
    <definedName name="carência_33">#REF!</definedName>
    <definedName name="carência_34" localSheetId="20">#REF!</definedName>
    <definedName name="carência_34">#REF!</definedName>
    <definedName name="carência_35" localSheetId="20">#REF!</definedName>
    <definedName name="carência_35">#REF!</definedName>
    <definedName name="carência_36" localSheetId="20">#REF!</definedName>
    <definedName name="carência_36">#REF!</definedName>
    <definedName name="carência_37" localSheetId="20">#REF!</definedName>
    <definedName name="carência_37">#REF!</definedName>
    <definedName name="carência_38" localSheetId="20">#REF!</definedName>
    <definedName name="carência_38">#REF!</definedName>
    <definedName name="carência_39" localSheetId="20">#REF!</definedName>
    <definedName name="carência_39">#REF!</definedName>
    <definedName name="carência_40" localSheetId="20">#REF!</definedName>
    <definedName name="carência_40">#REF!</definedName>
    <definedName name="carencia_41" localSheetId="20">#REF!</definedName>
    <definedName name="carencia_41">#REF!</definedName>
    <definedName name="carencia_42" localSheetId="20">#REF!</definedName>
    <definedName name="carencia_42">#REF!</definedName>
    <definedName name="carencia_43" localSheetId="20">#REF!</definedName>
    <definedName name="carencia_43">#REF!</definedName>
    <definedName name="carência_44" localSheetId="20">#REF!</definedName>
    <definedName name="carência_44">#REF!</definedName>
    <definedName name="carência_45" localSheetId="20">#REF!</definedName>
    <definedName name="carência_45">#REF!</definedName>
    <definedName name="carência_5" localSheetId="20">#REF!</definedName>
    <definedName name="carência_5">#REF!</definedName>
    <definedName name="carência_6" localSheetId="20">#REF!</definedName>
    <definedName name="carência_6">#REF!</definedName>
    <definedName name="carência_7">#N/A</definedName>
    <definedName name="carência_8">#N/A</definedName>
    <definedName name="carência_9">#N/A</definedName>
    <definedName name="carência_salário">#N/A</definedName>
    <definedName name="carência_salário_1">#N/A</definedName>
    <definedName name="carência_salário_10" localSheetId="20">#REF!</definedName>
    <definedName name="carência_salário_10">#REF!</definedName>
    <definedName name="carência_salário_11" localSheetId="20">#REF!</definedName>
    <definedName name="carência_salário_11">#REF!</definedName>
    <definedName name="carência_salário_11_1">NA()</definedName>
    <definedName name="carência_salário_12" localSheetId="20">#REF!</definedName>
    <definedName name="carência_salário_12">#REF!</definedName>
    <definedName name="carência_salário_19" localSheetId="20">#REF!</definedName>
    <definedName name="carência_salário_19">#REF!</definedName>
    <definedName name="carência_salário_34" localSheetId="20">#REF!</definedName>
    <definedName name="carência_salário_34">#REF!</definedName>
    <definedName name="carência_salário_35" localSheetId="20">#REF!</definedName>
    <definedName name="carência_salário_35">#REF!</definedName>
    <definedName name="carência_salário_36" localSheetId="20">#REF!</definedName>
    <definedName name="carência_salário_36">#REF!</definedName>
    <definedName name="carência_salário_37" localSheetId="20">#REF!</definedName>
    <definedName name="carência_salário_37">#REF!</definedName>
    <definedName name="carência_salário_38" localSheetId="20">#REF!</definedName>
    <definedName name="carência_salário_38">#REF!</definedName>
    <definedName name="carência_salário_39" localSheetId="20">#REF!</definedName>
    <definedName name="carência_salário_39">#REF!</definedName>
    <definedName name="carência_salário_5" localSheetId="20">#REF!</definedName>
    <definedName name="carência_salário_5">#REF!</definedName>
    <definedName name="carencia_salario_55" localSheetId="20">#REF!</definedName>
    <definedName name="carencia_salario_55">#REF!</definedName>
    <definedName name="carencia_salario_56" localSheetId="20">#REF!</definedName>
    <definedName name="carencia_salario_56">#REF!</definedName>
    <definedName name="carencia_salario_57" localSheetId="20">#REF!</definedName>
    <definedName name="carencia_salario_57">#REF!</definedName>
    <definedName name="carencia_salario_58" localSheetId="20">#REF!</definedName>
    <definedName name="carencia_salario_58">#REF!</definedName>
    <definedName name="carencia_salario_59" localSheetId="20">#REF!</definedName>
    <definedName name="carencia_salario_59">#REF!</definedName>
    <definedName name="carência_salário_6" localSheetId="20">#REF!</definedName>
    <definedName name="carência_salário_6">#REF!</definedName>
    <definedName name="carência_salário_7">#N/A</definedName>
    <definedName name="carência_salário_8">#N/A</definedName>
    <definedName name="carência_salário_9">#N/A</definedName>
    <definedName name="carência_sd">#N/A</definedName>
    <definedName name="carência_sd_10" localSheetId="20">#REF!</definedName>
    <definedName name="carência_sd_10">#REF!</definedName>
    <definedName name="carência_sd_11" localSheetId="20">#REF!</definedName>
    <definedName name="carência_sd_11">#REF!</definedName>
    <definedName name="carência_sd_11_1">NA()</definedName>
    <definedName name="carência_sd_12" localSheetId="20">#REF!</definedName>
    <definedName name="carência_sd_12">#REF!</definedName>
    <definedName name="carência_sd_18" localSheetId="20">#REF!</definedName>
    <definedName name="carência_sd_18">#REF!</definedName>
    <definedName name="carência_sd_19" localSheetId="20">#REF!</definedName>
    <definedName name="carência_sd_19">#REF!</definedName>
    <definedName name="carência_sd_20" localSheetId="20">#REF!</definedName>
    <definedName name="carência_sd_20">#REF!</definedName>
    <definedName name="carência_sd_21" localSheetId="20">#REF!</definedName>
    <definedName name="carência_sd_21">#REF!</definedName>
    <definedName name="carência_sd_22" localSheetId="20">#REF!</definedName>
    <definedName name="carência_sd_22">#REF!</definedName>
    <definedName name="carência_sd_23" localSheetId="20">#REF!</definedName>
    <definedName name="carência_sd_23">#REF!</definedName>
    <definedName name="carência_sd_24" localSheetId="20">#REF!</definedName>
    <definedName name="carência_sd_24">#REF!</definedName>
    <definedName name="carência_sd_25" localSheetId="20">#REF!</definedName>
    <definedName name="carência_sd_25">#REF!</definedName>
    <definedName name="carência_sd_26" localSheetId="20">#REF!</definedName>
    <definedName name="carência_sd_26">#REF!</definedName>
    <definedName name="carência_sd_27" localSheetId="20">#REF!</definedName>
    <definedName name="carência_sd_27">#REF!</definedName>
    <definedName name="carência_sd_28" localSheetId="20">#REF!</definedName>
    <definedName name="carência_sd_28">#REF!</definedName>
    <definedName name="carência_sd_29" localSheetId="20">#REF!</definedName>
    <definedName name="carência_sd_29">#REF!</definedName>
    <definedName name="carência_sd_30" localSheetId="20">#REF!</definedName>
    <definedName name="carência_sd_30">#REF!</definedName>
    <definedName name="carência_sd_31" localSheetId="20">#REF!</definedName>
    <definedName name="carência_sd_31">#REF!</definedName>
    <definedName name="carência_sd_32" localSheetId="20">#REF!</definedName>
    <definedName name="carência_sd_32">#REF!</definedName>
    <definedName name="carência_sd_33" localSheetId="20">#REF!</definedName>
    <definedName name="carência_sd_33">#REF!</definedName>
    <definedName name="carência_sd_34" localSheetId="20">#REF!</definedName>
    <definedName name="carência_sd_34">#REF!</definedName>
    <definedName name="carência_sd_35" localSheetId="20">#REF!</definedName>
    <definedName name="carência_sd_35">#REF!</definedName>
    <definedName name="carência_sd_36" localSheetId="20">#REF!</definedName>
    <definedName name="carência_sd_36">#REF!</definedName>
    <definedName name="carência_sd_37" localSheetId="20">#REF!</definedName>
    <definedName name="carência_sd_37">#REF!</definedName>
    <definedName name="carência_sd_38" localSheetId="20">#REF!</definedName>
    <definedName name="carência_sd_38">#REF!</definedName>
    <definedName name="carência_sd_39" localSheetId="20">#REF!</definedName>
    <definedName name="carência_sd_39">#REF!</definedName>
    <definedName name="carência_sd_40" localSheetId="20">#REF!</definedName>
    <definedName name="carência_sd_40">#REF!</definedName>
    <definedName name="carencia_sd_41" localSheetId="20">#REF!</definedName>
    <definedName name="carencia_sd_41">#REF!</definedName>
    <definedName name="carencia_sd_42" localSheetId="20">#REF!</definedName>
    <definedName name="carencia_sd_42">#REF!</definedName>
    <definedName name="carencia_sd_43" localSheetId="20">#REF!</definedName>
    <definedName name="carencia_sd_43">#REF!</definedName>
    <definedName name="carência_sd_44" localSheetId="20">#REF!</definedName>
    <definedName name="carência_sd_44">#REF!</definedName>
    <definedName name="carência_sd_45" localSheetId="20">#REF!</definedName>
    <definedName name="carência_sd_45">#REF!</definedName>
    <definedName name="carência_sd_5" localSheetId="20">#REF!</definedName>
    <definedName name="carência_sd_5">#REF!</definedName>
    <definedName name="carência_sd_6" localSheetId="20">#REF!</definedName>
    <definedName name="carência_sd_6">#REF!</definedName>
    <definedName name="carência_sd_7">#N/A</definedName>
    <definedName name="carência_sd_8">#N/A</definedName>
    <definedName name="carência_sd_9">#N/A</definedName>
    <definedName name="COMUM" localSheetId="9">#REF!</definedName>
    <definedName name="COMUM" localSheetId="13">#REF!</definedName>
    <definedName name="COMUM" localSheetId="15">#REF!</definedName>
    <definedName name="COMUM" localSheetId="20">#REF!</definedName>
    <definedName name="COMUM" localSheetId="0">#REF!</definedName>
    <definedName name="COMUM">#REF!</definedName>
    <definedName name="DADOS" localSheetId="9">#REF!</definedName>
    <definedName name="DADOS" localSheetId="13">#REF!</definedName>
    <definedName name="DADOS" localSheetId="15">#REF!</definedName>
    <definedName name="DADOS" localSheetId="20">#REF!</definedName>
    <definedName name="DADOS" localSheetId="0">#REF!</definedName>
    <definedName name="DADOS">#REF!</definedName>
    <definedName name="DADOS2" localSheetId="9">#REF!</definedName>
    <definedName name="DADOS2" localSheetId="13">#REF!</definedName>
    <definedName name="DADOS2" localSheetId="15">#REF!</definedName>
    <definedName name="DADOS2" localSheetId="20">#REF!</definedName>
    <definedName name="DADOS2" localSheetId="0">#REF!</definedName>
    <definedName name="DADOS2">#REF!</definedName>
    <definedName name="DADOS3" localSheetId="9">#REF!</definedName>
    <definedName name="DADOS3" localSheetId="13">#REF!</definedName>
    <definedName name="DADOS3" localSheetId="15">#REF!</definedName>
    <definedName name="DADOS3" localSheetId="20">#REF!</definedName>
    <definedName name="DADOS3" localSheetId="0">#REF!</definedName>
    <definedName name="DADOS3">#REF!</definedName>
    <definedName name="DADOS4">#N/A</definedName>
    <definedName name="DADOS5" localSheetId="9">#REF!</definedName>
    <definedName name="DADOS5" localSheetId="13">#REF!</definedName>
    <definedName name="DADOS5" localSheetId="15">#REF!</definedName>
    <definedName name="DADOS5" localSheetId="20">#REF!</definedName>
    <definedName name="DADOS5" localSheetId="0">#REF!</definedName>
    <definedName name="DADOS5">#REF!</definedName>
    <definedName name="DADOS6" localSheetId="9">#REF!</definedName>
    <definedName name="DADOS6" localSheetId="13">#REF!</definedName>
    <definedName name="DADOS6" localSheetId="15">#REF!</definedName>
    <definedName name="DADOS6" localSheetId="20">#REF!</definedName>
    <definedName name="DADOS6" localSheetId="0">#REF!</definedName>
    <definedName name="DADOS6">#REF!</definedName>
    <definedName name="DADOS7" localSheetId="9">#REF!</definedName>
    <definedName name="DADOS7" localSheetId="13">#REF!</definedName>
    <definedName name="DADOS7" localSheetId="15">#REF!</definedName>
    <definedName name="DADOS7" localSheetId="20">#REF!</definedName>
    <definedName name="DADOS7" localSheetId="0">#REF!</definedName>
    <definedName name="DADOS7">#REF!</definedName>
    <definedName name="ee" localSheetId="20">#REF!</definedName>
    <definedName name="ee">#REF!</definedName>
    <definedName name="empréstimo">#N/A</definedName>
    <definedName name="empréstimo__44" localSheetId="20">#REF!</definedName>
    <definedName name="empréstimo__44">#REF!</definedName>
    <definedName name="empréstimo_10" localSheetId="20">#REF!</definedName>
    <definedName name="empréstimo_10">#REF!</definedName>
    <definedName name="empréstimo_11" localSheetId="20">#REF!</definedName>
    <definedName name="empréstimo_11">#REF!</definedName>
    <definedName name="empréstimo_11_1">NA()</definedName>
    <definedName name="empréstimo_12" localSheetId="20">#REF!</definedName>
    <definedName name="empréstimo_12">#REF!</definedName>
    <definedName name="empréstimo_18" localSheetId="20">#REF!</definedName>
    <definedName name="empréstimo_18">#REF!</definedName>
    <definedName name="empréstimo_19" localSheetId="20">#REF!</definedName>
    <definedName name="empréstimo_19">#REF!</definedName>
    <definedName name="empréstimo_20" localSheetId="20">#REF!</definedName>
    <definedName name="empréstimo_20">#REF!</definedName>
    <definedName name="empréstimo_21" localSheetId="20">#REF!</definedName>
    <definedName name="empréstimo_21">#REF!</definedName>
    <definedName name="empréstimo_22" localSheetId="20">#REF!</definedName>
    <definedName name="empréstimo_22">#REF!</definedName>
    <definedName name="empréstimo_23" localSheetId="20">#REF!</definedName>
    <definedName name="empréstimo_23">#REF!</definedName>
    <definedName name="empréstimo_24" localSheetId="20">#REF!</definedName>
    <definedName name="empréstimo_24">#REF!</definedName>
    <definedName name="empréstimo_25" localSheetId="20">#REF!</definedName>
    <definedName name="empréstimo_25">#REF!</definedName>
    <definedName name="empréstimo_26" localSheetId="20">#REF!</definedName>
    <definedName name="empréstimo_26">#REF!</definedName>
    <definedName name="empréstimo_27" localSheetId="20">#REF!</definedName>
    <definedName name="empréstimo_27">#REF!</definedName>
    <definedName name="empréstimo_28" localSheetId="20">#REF!</definedName>
    <definedName name="empréstimo_28">#REF!</definedName>
    <definedName name="empréstimo_29" localSheetId="20">#REF!</definedName>
    <definedName name="empréstimo_29">#REF!</definedName>
    <definedName name="empréstimo_30" localSheetId="20">#REF!</definedName>
    <definedName name="empréstimo_30">#REF!</definedName>
    <definedName name="empréstimo_31" localSheetId="20">#REF!</definedName>
    <definedName name="empréstimo_31">#REF!</definedName>
    <definedName name="empréstimo_32" localSheetId="20">#REF!</definedName>
    <definedName name="empréstimo_32">#REF!</definedName>
    <definedName name="empréstimo_33" localSheetId="20">#REF!</definedName>
    <definedName name="empréstimo_33">#REF!</definedName>
    <definedName name="empréstimo_34" localSheetId="20">#REF!</definedName>
    <definedName name="empréstimo_34">#REF!</definedName>
    <definedName name="empréstimo_35" localSheetId="20">#REF!</definedName>
    <definedName name="empréstimo_35">#REF!</definedName>
    <definedName name="empréstimo_36" localSheetId="20">#REF!</definedName>
    <definedName name="empréstimo_36">#REF!</definedName>
    <definedName name="empréstimo_37" localSheetId="20">#REF!</definedName>
    <definedName name="empréstimo_37">#REF!</definedName>
    <definedName name="empréstimo_38" localSheetId="20">#REF!</definedName>
    <definedName name="empréstimo_38">#REF!</definedName>
    <definedName name="empréstimo_39" localSheetId="20">#REF!</definedName>
    <definedName name="empréstimo_39">#REF!</definedName>
    <definedName name="empréstimo_40" localSheetId="20">#REF!</definedName>
    <definedName name="empréstimo_40">#REF!</definedName>
    <definedName name="emprestimo_41" localSheetId="20">#REF!</definedName>
    <definedName name="emprestimo_41">#REF!</definedName>
    <definedName name="emprestimo_42" localSheetId="20">#REF!</definedName>
    <definedName name="emprestimo_42">#REF!</definedName>
    <definedName name="emprestimo_43" localSheetId="20">#REF!</definedName>
    <definedName name="emprestimo_43">#REF!</definedName>
    <definedName name="empréstimo_44" localSheetId="20">#REF!</definedName>
    <definedName name="empréstimo_44">#REF!</definedName>
    <definedName name="empréstimo_45" localSheetId="20">#REF!</definedName>
    <definedName name="empréstimo_45">#REF!</definedName>
    <definedName name="empréstimo_5" localSheetId="20">#REF!</definedName>
    <definedName name="empréstimo_5">#REF!</definedName>
    <definedName name="empréstimo_6" localSheetId="20">#REF!</definedName>
    <definedName name="empréstimo_6">#REF!</definedName>
    <definedName name="empréstimo_7">#N/A</definedName>
    <definedName name="empréstimo_8">#N/A</definedName>
    <definedName name="empréstimo_9">#N/A</definedName>
    <definedName name="frota" localSheetId="20">#REF!</definedName>
    <definedName name="frota">#REF!</definedName>
    <definedName name="FROTA_10">#N/A</definedName>
    <definedName name="frota_16" localSheetId="20">#REF!</definedName>
    <definedName name="frota_16">#REF!</definedName>
    <definedName name="frota_17" localSheetId="20">#REF!</definedName>
    <definedName name="frota_17">#REF!</definedName>
    <definedName name="frota_2" localSheetId="20">#REF!</definedName>
    <definedName name="frota_2">#REF!</definedName>
    <definedName name="frota_4" localSheetId="20">#REF!</definedName>
    <definedName name="frota_4">#REF!</definedName>
    <definedName name="frota_5" localSheetId="20">#REF!</definedName>
    <definedName name="frota_5">#REF!</definedName>
    <definedName name="frota_6" localSheetId="20">#REF!</definedName>
    <definedName name="frota_6">#REF!</definedName>
    <definedName name="frota_7" localSheetId="20">#REF!</definedName>
    <definedName name="frota_7">#REF!</definedName>
    <definedName name="frota_8" localSheetId="20">#REF!</definedName>
    <definedName name="frota_8">#REF!</definedName>
    <definedName name="Frota2" localSheetId="20">#REF!</definedName>
    <definedName name="Frota2">#REF!</definedName>
    <definedName name="FROTACHAS" localSheetId="9">#REF!</definedName>
    <definedName name="FROTACHAS" localSheetId="13">#REF!</definedName>
    <definedName name="FROTACHAS" localSheetId="15">#REF!</definedName>
    <definedName name="FROTACHAS" localSheetId="20">#REF!</definedName>
    <definedName name="FROTACHAS" localSheetId="0">#REF!</definedName>
    <definedName name="FROTACHAS">#REF!</definedName>
    <definedName name="FROTAG" localSheetId="9">#REF!</definedName>
    <definedName name="FROTAG" localSheetId="13">#REF!</definedName>
    <definedName name="FROTAG" localSheetId="15">#REF!</definedName>
    <definedName name="FROTAG" localSheetId="20">#REF!</definedName>
    <definedName name="FROTAG" localSheetId="0">#REF!</definedName>
    <definedName name="FROTAG">#REF!</definedName>
    <definedName name="frotas" localSheetId="20">#REF!</definedName>
    <definedName name="frotas">#REF!</definedName>
    <definedName name="FUADMINI" localSheetId="9">#REF!</definedName>
    <definedName name="FUADMINI" localSheetId="13">#REF!</definedName>
    <definedName name="FUADMINI" localSheetId="15">#REF!</definedName>
    <definedName name="FUADMINI" localSheetId="20">#REF!</definedName>
    <definedName name="FUADMINI" localSheetId="0">#REF!</definedName>
    <definedName name="FUADMINI">#REF!</definedName>
    <definedName name="FUCOBRAD" localSheetId="9">#REF!</definedName>
    <definedName name="FUCOBRAD" localSheetId="13">#REF!</definedName>
    <definedName name="FUCOBRAD" localSheetId="15">#REF!</definedName>
    <definedName name="FUCOBRAD" localSheetId="20">#REF!</definedName>
    <definedName name="FUCOBRAD" localSheetId="0">#REF!</definedName>
    <definedName name="FUCOBRAD">#REF!</definedName>
    <definedName name="FUFISCAL" localSheetId="9">#REF!</definedName>
    <definedName name="FUFISCAL" localSheetId="13">#REF!</definedName>
    <definedName name="FUFISCAL" localSheetId="15">#REF!</definedName>
    <definedName name="FUFISCAL" localSheetId="20">#REF!</definedName>
    <definedName name="FUFISCAL" localSheetId="0">#REF!</definedName>
    <definedName name="FUFISCAL">#REF!</definedName>
    <definedName name="FUMANUTE" localSheetId="9">#REF!</definedName>
    <definedName name="FUMANUTE" localSheetId="13">#REF!</definedName>
    <definedName name="FUMANUTE" localSheetId="15">#REF!</definedName>
    <definedName name="FUMANUTE" localSheetId="20">#REF!</definedName>
    <definedName name="FUMANUTE" localSheetId="0">#REF!</definedName>
    <definedName name="FUMANUTE">#REF!</definedName>
    <definedName name="FUMOTORI">#N/A</definedName>
    <definedName name="inflação">#N/A</definedName>
    <definedName name="inflação_10" localSheetId="20">#REF!</definedName>
    <definedName name="inflação_10">#REF!</definedName>
    <definedName name="inflação_11" localSheetId="20">#REF!</definedName>
    <definedName name="inflação_11">#REF!</definedName>
    <definedName name="inflação_11_1">NA()</definedName>
    <definedName name="inflação_12" localSheetId="20">#REF!</definedName>
    <definedName name="inflação_12">#REF!</definedName>
    <definedName name="inflação_18" localSheetId="20">#REF!</definedName>
    <definedName name="inflação_18">#REF!</definedName>
    <definedName name="inflação_19" localSheetId="20">#REF!</definedName>
    <definedName name="inflação_19">#REF!</definedName>
    <definedName name="inflação_20" localSheetId="20">#REF!</definedName>
    <definedName name="inflação_20">#REF!</definedName>
    <definedName name="inflação_21" localSheetId="20">#REF!</definedName>
    <definedName name="inflação_21">#REF!</definedName>
    <definedName name="inflação_22" localSheetId="20">#REF!</definedName>
    <definedName name="inflação_22">#REF!</definedName>
    <definedName name="inflação_23" localSheetId="20">#REF!</definedName>
    <definedName name="inflação_23">#REF!</definedName>
    <definedName name="inflação_24" localSheetId="20">#REF!</definedName>
    <definedName name="inflação_24">#REF!</definedName>
    <definedName name="inflação_25" localSheetId="20">#REF!</definedName>
    <definedName name="inflação_25">#REF!</definedName>
    <definedName name="inflação_26" localSheetId="20">#REF!</definedName>
    <definedName name="inflação_26">#REF!</definedName>
    <definedName name="inflação_27" localSheetId="20">#REF!</definedName>
    <definedName name="inflação_27">#REF!</definedName>
    <definedName name="inflação_28" localSheetId="20">#REF!</definedName>
    <definedName name="inflação_28">#REF!</definedName>
    <definedName name="inflação_29" localSheetId="20">#REF!</definedName>
    <definedName name="inflação_29">#REF!</definedName>
    <definedName name="inflação_30" localSheetId="20">#REF!</definedName>
    <definedName name="inflação_30">#REF!</definedName>
    <definedName name="inflação_31" localSheetId="20">#REF!</definedName>
    <definedName name="inflação_31">#REF!</definedName>
    <definedName name="inflação_32" localSheetId="20">#REF!</definedName>
    <definedName name="inflação_32">#REF!</definedName>
    <definedName name="inflação_33" localSheetId="20">#REF!</definedName>
    <definedName name="inflação_33">#REF!</definedName>
    <definedName name="inflação_34" localSheetId="20">#REF!</definedName>
    <definedName name="inflação_34">#REF!</definedName>
    <definedName name="inflação_35" localSheetId="20">#REF!</definedName>
    <definedName name="inflação_35">#REF!</definedName>
    <definedName name="inflação_36" localSheetId="20">#REF!</definedName>
    <definedName name="inflação_36">#REF!</definedName>
    <definedName name="inflação_37" localSheetId="20">#REF!</definedName>
    <definedName name="inflação_37">#REF!</definedName>
    <definedName name="inflação_38" localSheetId="20">#REF!</definedName>
    <definedName name="inflação_38">#REF!</definedName>
    <definedName name="inflação_39" localSheetId="20">#REF!</definedName>
    <definedName name="inflação_39">#REF!</definedName>
    <definedName name="inflação_40" localSheetId="20">#REF!</definedName>
    <definedName name="inflação_40">#REF!</definedName>
    <definedName name="inflaçao_41" localSheetId="20">#REF!</definedName>
    <definedName name="inflaçao_41">#REF!</definedName>
    <definedName name="inflaçao_42" localSheetId="20">#REF!</definedName>
    <definedName name="inflaçao_42">#REF!</definedName>
    <definedName name="inflaçao_43" localSheetId="20">#REF!</definedName>
    <definedName name="inflaçao_43">#REF!</definedName>
    <definedName name="inflação_44" localSheetId="20">#REF!</definedName>
    <definedName name="inflação_44">#REF!</definedName>
    <definedName name="inflação_45" localSheetId="20">#REF!</definedName>
    <definedName name="inflação_45">#REF!</definedName>
    <definedName name="inflação_5" localSheetId="20">#REF!</definedName>
    <definedName name="inflação_5">#REF!</definedName>
    <definedName name="inflação_6" localSheetId="20">#REF!</definedName>
    <definedName name="inflação_6">#REF!</definedName>
    <definedName name="inflação_7">#N/A</definedName>
    <definedName name="inflação_8">#N/A</definedName>
    <definedName name="inflação_9">#N/A</definedName>
    <definedName name="IPK_E_PMM" localSheetId="9">#REF!</definedName>
    <definedName name="IPK_E_PMM" localSheetId="13">#REF!</definedName>
    <definedName name="IPK_E_PMM" localSheetId="15">#REF!</definedName>
    <definedName name="IPK_E_PMM" localSheetId="20">#REF!</definedName>
    <definedName name="IPK_E_PMM" localSheetId="0">#REF!</definedName>
    <definedName name="IPK_E_PMM">#REF!</definedName>
    <definedName name="PASSAG" localSheetId="9">#REF!</definedName>
    <definedName name="PASSAG" localSheetId="13">#REF!</definedName>
    <definedName name="PASSAG" localSheetId="15">#REF!</definedName>
    <definedName name="PASSAG" localSheetId="20">#REF!</definedName>
    <definedName name="PASSAG" localSheetId="0">#REF!</definedName>
    <definedName name="PASSAG">#REF!</definedName>
    <definedName name="PR_VEIUC_NOVO" localSheetId="9">#REF!</definedName>
    <definedName name="PR_VEIUC_NOVO" localSheetId="13">#REF!</definedName>
    <definedName name="PR_VEIUC_NOVO" localSheetId="15">#REF!</definedName>
    <definedName name="PR_VEIUC_NOVO" localSheetId="20">#REF!</definedName>
    <definedName name="PR_VEIUC_NOVO" localSheetId="0">#REF!</definedName>
    <definedName name="PR_VEIUC_NOVO">#REF!</definedName>
    <definedName name="prazo">#N/A</definedName>
    <definedName name="prazo__44" localSheetId="20">#REF!</definedName>
    <definedName name="prazo__44">#REF!</definedName>
    <definedName name="prazo_10" localSheetId="20">#REF!</definedName>
    <definedName name="prazo_10">#REF!</definedName>
    <definedName name="prazo_11" localSheetId="20">#REF!</definedName>
    <definedName name="prazo_11">#REF!</definedName>
    <definedName name="prazo_11_1">NA()</definedName>
    <definedName name="prazo_12" localSheetId="20">#REF!</definedName>
    <definedName name="prazo_12">#REF!</definedName>
    <definedName name="prazo_18" localSheetId="20">#REF!</definedName>
    <definedName name="prazo_18">#REF!</definedName>
    <definedName name="prazo_19" localSheetId="20">#REF!</definedName>
    <definedName name="prazo_19">#REF!</definedName>
    <definedName name="prazo_20" localSheetId="20">#REF!</definedName>
    <definedName name="prazo_20">#REF!</definedName>
    <definedName name="prazo_21" localSheetId="20">#REF!</definedName>
    <definedName name="prazo_21">#REF!</definedName>
    <definedName name="prazo_22" localSheetId="20">#REF!</definedName>
    <definedName name="prazo_22">#REF!</definedName>
    <definedName name="prazo_23" localSheetId="20">#REF!</definedName>
    <definedName name="prazo_23">#REF!</definedName>
    <definedName name="prazo_24" localSheetId="20">#REF!</definedName>
    <definedName name="prazo_24">#REF!</definedName>
    <definedName name="prazo_25" localSheetId="20">#REF!</definedName>
    <definedName name="prazo_25">#REF!</definedName>
    <definedName name="prazo_26" localSheetId="20">#REF!</definedName>
    <definedName name="prazo_26">#REF!</definedName>
    <definedName name="prazo_27" localSheetId="20">#REF!</definedName>
    <definedName name="prazo_27">#REF!</definedName>
    <definedName name="prazo_28" localSheetId="20">#REF!</definedName>
    <definedName name="prazo_28">#REF!</definedName>
    <definedName name="prazo_29" localSheetId="20">#REF!</definedName>
    <definedName name="prazo_29">#REF!</definedName>
    <definedName name="prazo_30" localSheetId="20">#REF!</definedName>
    <definedName name="prazo_30">#REF!</definedName>
    <definedName name="prazo_31" localSheetId="20">#REF!</definedName>
    <definedName name="prazo_31">#REF!</definedName>
    <definedName name="prazo_32" localSheetId="20">#REF!</definedName>
    <definedName name="prazo_32">#REF!</definedName>
    <definedName name="prazo_33" localSheetId="20">#REF!</definedName>
    <definedName name="prazo_33">#REF!</definedName>
    <definedName name="prazo_34" localSheetId="20">#REF!</definedName>
    <definedName name="prazo_34">#REF!</definedName>
    <definedName name="prazo_35" localSheetId="20">#REF!</definedName>
    <definedName name="prazo_35">#REF!</definedName>
    <definedName name="prazo_36" localSheetId="20">#REF!</definedName>
    <definedName name="prazo_36">#REF!</definedName>
    <definedName name="prazo_37" localSheetId="20">#REF!</definedName>
    <definedName name="prazo_37">#REF!</definedName>
    <definedName name="prazo_38" localSheetId="20">#REF!</definedName>
    <definedName name="prazo_38">#REF!</definedName>
    <definedName name="prazo_39" localSheetId="20">#REF!</definedName>
    <definedName name="prazo_39">#REF!</definedName>
    <definedName name="prazo_40" localSheetId="20">#REF!</definedName>
    <definedName name="prazo_40">#REF!</definedName>
    <definedName name="prazo_41" localSheetId="20">#REF!</definedName>
    <definedName name="prazo_41">#REF!</definedName>
    <definedName name="prazo_42" localSheetId="20">#REF!</definedName>
    <definedName name="prazo_42">#REF!</definedName>
    <definedName name="prazo_43" localSheetId="20">#REF!</definedName>
    <definedName name="prazo_43">#REF!</definedName>
    <definedName name="prazo_44" localSheetId="20">#REF!</definedName>
    <definedName name="prazo_44">#REF!</definedName>
    <definedName name="prazo_5" localSheetId="20">#REF!</definedName>
    <definedName name="prazo_5">#REF!</definedName>
    <definedName name="prazo_6" localSheetId="20">#REF!</definedName>
    <definedName name="prazo_6">#REF!</definedName>
    <definedName name="prazo_7">#N/A</definedName>
    <definedName name="prazo_8">#N/A</definedName>
    <definedName name="prazo_9">#N/A</definedName>
    <definedName name="salário">#N/A</definedName>
    <definedName name="salário_1">#N/A</definedName>
    <definedName name="salário_10" localSheetId="20">#REF!</definedName>
    <definedName name="salário_10">#REF!</definedName>
    <definedName name="salário_11" localSheetId="20">#REF!</definedName>
    <definedName name="salário_11">#REF!</definedName>
    <definedName name="salário_11_1">NA()</definedName>
    <definedName name="salário_12" localSheetId="20">#REF!</definedName>
    <definedName name="salário_12">#REF!</definedName>
    <definedName name="salário_19" localSheetId="20">#REF!</definedName>
    <definedName name="salário_19">#REF!</definedName>
    <definedName name="salário_34" localSheetId="20">#REF!</definedName>
    <definedName name="salário_34">#REF!</definedName>
    <definedName name="salário_35" localSheetId="20">#REF!</definedName>
    <definedName name="salário_35">#REF!</definedName>
    <definedName name="salário_36" localSheetId="20">#REF!</definedName>
    <definedName name="salário_36">#REF!</definedName>
    <definedName name="salário_37" localSheetId="20">#REF!</definedName>
    <definedName name="salário_37">#REF!</definedName>
    <definedName name="salário_38" localSheetId="20">#REF!</definedName>
    <definedName name="salário_38">#REF!</definedName>
    <definedName name="salário_39" localSheetId="20">#REF!</definedName>
    <definedName name="salário_39">#REF!</definedName>
    <definedName name="salário_5" localSheetId="20">#REF!</definedName>
    <definedName name="salário_5">#REF!</definedName>
    <definedName name="salário_55" localSheetId="20">#REF!</definedName>
    <definedName name="salário_55">#REF!</definedName>
    <definedName name="salário_56" localSheetId="20">#REF!</definedName>
    <definedName name="salário_56">#REF!</definedName>
    <definedName name="salário_57" localSheetId="20">#REF!</definedName>
    <definedName name="salário_57">#REF!</definedName>
    <definedName name="salário_58" localSheetId="20">#REF!</definedName>
    <definedName name="salário_58">#REF!</definedName>
    <definedName name="salário_59" localSheetId="20">#REF!</definedName>
    <definedName name="salário_59">#REF!</definedName>
    <definedName name="salário_6" localSheetId="20">#REF!</definedName>
    <definedName name="salário_6">#REF!</definedName>
    <definedName name="salário_7">#N/A</definedName>
    <definedName name="salário_8">#N/A</definedName>
    <definedName name="salário_9">#N/A</definedName>
    <definedName name="Selecionar1_2">#N/A</definedName>
    <definedName name="Selecionar2_2">#N/A</definedName>
    <definedName name="Selecionar3_2">#N/A</definedName>
    <definedName name="Selecionar4_2">#N/A</definedName>
    <definedName name="TARIFA" localSheetId="9">#REF!</definedName>
    <definedName name="TARIFA" localSheetId="13">#REF!</definedName>
    <definedName name="TARIFA" localSheetId="15">#REF!</definedName>
    <definedName name="TARIFA" localSheetId="20">#REF!</definedName>
    <definedName name="TARIFA" localSheetId="0">#REF!</definedName>
    <definedName name="TARIFA">#REF!</definedName>
    <definedName name="taxa">#N/A</definedName>
    <definedName name="taxa__44" localSheetId="20">#REF!</definedName>
    <definedName name="taxa__44">#REF!</definedName>
    <definedName name="taxa_10" localSheetId="20">#REF!</definedName>
    <definedName name="taxa_10">#REF!</definedName>
    <definedName name="taxa_11" localSheetId="20">#REF!</definedName>
    <definedName name="taxa_11">#REF!</definedName>
    <definedName name="taxa_11_1">NA()</definedName>
    <definedName name="taxa_12" localSheetId="20">#REF!</definedName>
    <definedName name="taxa_12">#REF!</definedName>
    <definedName name="taxa_18" localSheetId="20">#REF!</definedName>
    <definedName name="taxa_18">#REF!</definedName>
    <definedName name="taxa_19" localSheetId="20">#REF!</definedName>
    <definedName name="taxa_19">#REF!</definedName>
    <definedName name="taxa_20" localSheetId="20">#REF!</definedName>
    <definedName name="taxa_20">#REF!</definedName>
    <definedName name="taxa_21" localSheetId="20">#REF!</definedName>
    <definedName name="taxa_21">#REF!</definedName>
    <definedName name="taxa_22" localSheetId="20">#REF!</definedName>
    <definedName name="taxa_22">#REF!</definedName>
    <definedName name="taxa_23" localSheetId="20">#REF!</definedName>
    <definedName name="taxa_23">#REF!</definedName>
    <definedName name="taxa_24" localSheetId="20">#REF!</definedName>
    <definedName name="taxa_24">#REF!</definedName>
    <definedName name="taxa_25" localSheetId="20">#REF!</definedName>
    <definedName name="taxa_25">#REF!</definedName>
    <definedName name="taxa_26" localSheetId="20">#REF!</definedName>
    <definedName name="taxa_26">#REF!</definedName>
    <definedName name="taxa_27" localSheetId="20">#REF!</definedName>
    <definedName name="taxa_27">#REF!</definedName>
    <definedName name="taxa_28" localSheetId="20">#REF!</definedName>
    <definedName name="taxa_28">#REF!</definedName>
    <definedName name="taxa_29" localSheetId="20">#REF!</definedName>
    <definedName name="taxa_29">#REF!</definedName>
    <definedName name="taxa_30" localSheetId="20">#REF!</definedName>
    <definedName name="taxa_30">#REF!</definedName>
    <definedName name="taxa_31" localSheetId="20">#REF!</definedName>
    <definedName name="taxa_31">#REF!</definedName>
    <definedName name="taxa_32" localSheetId="20">#REF!</definedName>
    <definedName name="taxa_32">#REF!</definedName>
    <definedName name="taxa_33" localSheetId="20">#REF!</definedName>
    <definedName name="taxa_33">#REF!</definedName>
    <definedName name="taxa_34" localSheetId="20">#REF!</definedName>
    <definedName name="taxa_34">#REF!</definedName>
    <definedName name="taxa_35" localSheetId="20">#REF!</definedName>
    <definedName name="taxa_35">#REF!</definedName>
    <definedName name="taxa_36" localSheetId="20">#REF!</definedName>
    <definedName name="taxa_36">#REF!</definedName>
    <definedName name="taxa_37" localSheetId="20">#REF!</definedName>
    <definedName name="taxa_37">#REF!</definedName>
    <definedName name="taxa_38" localSheetId="20">#REF!</definedName>
    <definedName name="taxa_38">#REF!</definedName>
    <definedName name="taxa_39" localSheetId="20">#REF!</definedName>
    <definedName name="taxa_39">#REF!</definedName>
    <definedName name="taxa_40" localSheetId="20">#REF!</definedName>
    <definedName name="taxa_40">#REF!</definedName>
    <definedName name="taxa_41" localSheetId="20">#REF!</definedName>
    <definedName name="taxa_41">#REF!</definedName>
    <definedName name="taxa_42" localSheetId="20">#REF!</definedName>
    <definedName name="taxa_42">#REF!</definedName>
    <definedName name="taxa_43" localSheetId="20">#REF!</definedName>
    <definedName name="taxa_43">#REF!</definedName>
    <definedName name="taxa_44" localSheetId="20">#REF!</definedName>
    <definedName name="taxa_44">#REF!</definedName>
    <definedName name="taxa_45" localSheetId="20">#REF!</definedName>
    <definedName name="taxa_45">#REF!</definedName>
    <definedName name="taxa_5" localSheetId="20">#REF!</definedName>
    <definedName name="taxa_5">#REF!</definedName>
    <definedName name="taxa_6" localSheetId="20">#REF!</definedName>
    <definedName name="taxa_6">#REF!</definedName>
    <definedName name="taxa_7">#N/A</definedName>
    <definedName name="taxa_8">#N/A</definedName>
    <definedName name="taxa_9">#N/A</definedName>
  </definedNames>
  <calcPr calcId="145621"/>
  <pivotCaches>
    <pivotCache cacheId="5" r:id="rId26"/>
  </pivotCaches>
</workbook>
</file>

<file path=xl/calcChain.xml><?xml version="1.0" encoding="utf-8"?>
<calcChain xmlns="http://schemas.openxmlformats.org/spreadsheetml/2006/main">
  <c r="C5" i="48" l="1"/>
  <c r="C36" i="90" l="1"/>
  <c r="C40" i="90" s="1"/>
  <c r="C42" i="90" s="1"/>
  <c r="C30" i="90"/>
  <c r="C24" i="90"/>
  <c r="C26" i="90" l="1"/>
  <c r="D31" i="86" l="1"/>
  <c r="D7" i="86" s="1"/>
  <c r="D16" i="86"/>
  <c r="D31" i="85"/>
  <c r="D19" i="85"/>
  <c r="N15" i="89"/>
  <c r="M15" i="89"/>
  <c r="L15" i="89"/>
  <c r="K15" i="89"/>
  <c r="J15" i="89"/>
  <c r="I15" i="89"/>
  <c r="H15" i="89"/>
  <c r="G15" i="89"/>
  <c r="F15" i="89"/>
  <c r="E15" i="89"/>
  <c r="D15" i="89"/>
  <c r="C15" i="89"/>
  <c r="B15" i="89"/>
  <c r="O15" i="89" s="1"/>
  <c r="N14" i="89"/>
  <c r="M14" i="89"/>
  <c r="L14" i="89"/>
  <c r="K14" i="89"/>
  <c r="J14" i="89"/>
  <c r="I14" i="89"/>
  <c r="H14" i="89"/>
  <c r="G14" i="89"/>
  <c r="F14" i="89"/>
  <c r="E14" i="89"/>
  <c r="D14" i="89"/>
  <c r="C14" i="89"/>
  <c r="B14" i="89"/>
  <c r="N13" i="89"/>
  <c r="M13" i="89"/>
  <c r="L13" i="89"/>
  <c r="K13" i="89"/>
  <c r="J13" i="89"/>
  <c r="I13" i="89"/>
  <c r="H13" i="89"/>
  <c r="G13" i="89"/>
  <c r="F13" i="89"/>
  <c r="E13" i="89"/>
  <c r="D13" i="89"/>
  <c r="C13" i="89"/>
  <c r="B13" i="89"/>
  <c r="O13" i="89" s="1"/>
  <c r="N12" i="89"/>
  <c r="M12" i="89"/>
  <c r="L12" i="89"/>
  <c r="K12" i="89"/>
  <c r="J12" i="89"/>
  <c r="I12" i="89"/>
  <c r="H12" i="89"/>
  <c r="G12" i="89"/>
  <c r="F12" i="89"/>
  <c r="E12" i="89"/>
  <c r="D12" i="89"/>
  <c r="C12" i="89"/>
  <c r="B12" i="89"/>
  <c r="N11" i="89"/>
  <c r="M11" i="89"/>
  <c r="L11" i="89"/>
  <c r="K11" i="89"/>
  <c r="J11" i="89"/>
  <c r="I11" i="89"/>
  <c r="H11" i="89"/>
  <c r="G11" i="89"/>
  <c r="F11" i="89"/>
  <c r="E11" i="89"/>
  <c r="D11" i="89"/>
  <c r="C11" i="89"/>
  <c r="B11" i="89"/>
  <c r="O11" i="89" s="1"/>
  <c r="N10" i="89"/>
  <c r="M10" i="89"/>
  <c r="L10" i="89"/>
  <c r="K10" i="89"/>
  <c r="J10" i="89"/>
  <c r="I10" i="89"/>
  <c r="H10" i="89"/>
  <c r="G10" i="89"/>
  <c r="F10" i="89"/>
  <c r="E10" i="89"/>
  <c r="D10" i="89"/>
  <c r="C10" i="89"/>
  <c r="B10" i="89"/>
  <c r="N9" i="89"/>
  <c r="M9" i="89"/>
  <c r="L9" i="89"/>
  <c r="K9" i="89"/>
  <c r="J9" i="89"/>
  <c r="I9" i="89"/>
  <c r="H9" i="89"/>
  <c r="G9" i="89"/>
  <c r="F9" i="89"/>
  <c r="E9" i="89"/>
  <c r="D9" i="89"/>
  <c r="C9" i="89"/>
  <c r="B9" i="89"/>
  <c r="N8" i="89"/>
  <c r="M8" i="89"/>
  <c r="L8" i="89"/>
  <c r="K8" i="89"/>
  <c r="J8" i="89"/>
  <c r="I8" i="89"/>
  <c r="H8" i="89"/>
  <c r="G8" i="89"/>
  <c r="F8" i="89"/>
  <c r="E8" i="89"/>
  <c r="D8" i="89"/>
  <c r="C8" i="89"/>
  <c r="O8" i="89" s="1"/>
  <c r="B8" i="89"/>
  <c r="N7" i="89"/>
  <c r="M7" i="89"/>
  <c r="L7" i="89"/>
  <c r="K7" i="89"/>
  <c r="J7" i="89"/>
  <c r="I7" i="89"/>
  <c r="H7" i="89"/>
  <c r="G7" i="89"/>
  <c r="F7" i="89"/>
  <c r="E7" i="89"/>
  <c r="D7" i="89"/>
  <c r="C7" i="89"/>
  <c r="B7" i="89"/>
  <c r="N6" i="89"/>
  <c r="M6" i="89"/>
  <c r="L6" i="89"/>
  <c r="K6" i="89"/>
  <c r="J6" i="89"/>
  <c r="I6" i="89"/>
  <c r="H6" i="89"/>
  <c r="G6" i="89"/>
  <c r="F6" i="89"/>
  <c r="E6" i="89"/>
  <c r="D6" i="89"/>
  <c r="C6" i="89"/>
  <c r="O6" i="89" s="1"/>
  <c r="B6" i="89"/>
  <c r="N5" i="89"/>
  <c r="M5" i="89"/>
  <c r="L5" i="89"/>
  <c r="K5" i="89"/>
  <c r="J5" i="89"/>
  <c r="I5" i="89"/>
  <c r="H5" i="89"/>
  <c r="G5" i="89"/>
  <c r="F5" i="89"/>
  <c r="E5" i="89"/>
  <c r="D5" i="89"/>
  <c r="C5" i="89"/>
  <c r="B5" i="89"/>
  <c r="N4" i="89"/>
  <c r="M4" i="89"/>
  <c r="M17" i="89" s="1"/>
  <c r="L4" i="89"/>
  <c r="K4" i="89"/>
  <c r="K17" i="89" s="1"/>
  <c r="J4" i="89"/>
  <c r="I4" i="89"/>
  <c r="I17" i="89" s="1"/>
  <c r="H4" i="89"/>
  <c r="G4" i="89"/>
  <c r="G17" i="89" s="1"/>
  <c r="F4" i="89"/>
  <c r="E4" i="89"/>
  <c r="E17" i="89" s="1"/>
  <c r="D4" i="89"/>
  <c r="C4" i="89"/>
  <c r="C17" i="89" s="1"/>
  <c r="B4" i="89"/>
  <c r="D11" i="86"/>
  <c r="D32" i="86" s="1"/>
  <c r="C11" i="86"/>
  <c r="D10" i="86"/>
  <c r="D14" i="85"/>
  <c r="D11" i="85"/>
  <c r="D32" i="85" s="1"/>
  <c r="D33" i="85" s="1"/>
  <c r="D10" i="85"/>
  <c r="D9" i="85"/>
  <c r="D20" i="85" s="1"/>
  <c r="D21" i="85" s="1"/>
  <c r="B16" i="89" l="1"/>
  <c r="D16" i="89"/>
  <c r="D19" i="89" s="1"/>
  <c r="F16" i="89"/>
  <c r="F19" i="89" s="1"/>
  <c r="H16" i="89"/>
  <c r="H19" i="89" s="1"/>
  <c r="J16" i="89"/>
  <c r="J19" i="89" s="1"/>
  <c r="L16" i="89"/>
  <c r="L19" i="89" s="1"/>
  <c r="N16" i="89"/>
  <c r="N19" i="89" s="1"/>
  <c r="O5" i="89"/>
  <c r="O7" i="89"/>
  <c r="O9" i="89"/>
  <c r="O10" i="89"/>
  <c r="O12" i="89"/>
  <c r="O14" i="89"/>
  <c r="O4" i="89"/>
  <c r="O17" i="89" s="1"/>
  <c r="C16" i="89"/>
  <c r="C19" i="89" s="1"/>
  <c r="E16" i="89"/>
  <c r="E19" i="89" s="1"/>
  <c r="G16" i="89"/>
  <c r="G19" i="89" s="1"/>
  <c r="I16" i="89"/>
  <c r="I19" i="89" s="1"/>
  <c r="K16" i="89"/>
  <c r="K19" i="89" s="1"/>
  <c r="M16" i="89"/>
  <c r="M19" i="89" s="1"/>
  <c r="B17" i="89"/>
  <c r="D17" i="89"/>
  <c r="F17" i="89"/>
  <c r="H17" i="89"/>
  <c r="J17" i="89"/>
  <c r="L17" i="89"/>
  <c r="N17" i="89"/>
  <c r="D27" i="86"/>
  <c r="D17" i="86"/>
  <c r="D4" i="86"/>
  <c r="D26" i="85"/>
  <c r="D27" i="85" s="1"/>
  <c r="B19" i="89"/>
  <c r="J8" i="83"/>
  <c r="J9" i="83"/>
  <c r="J10" i="83"/>
  <c r="J11" i="83"/>
  <c r="J12" i="83"/>
  <c r="J13" i="83"/>
  <c r="J14" i="83"/>
  <c r="J7" i="83"/>
  <c r="D14" i="83"/>
  <c r="E14" i="83"/>
  <c r="F14" i="83"/>
  <c r="G14" i="83"/>
  <c r="H14" i="83"/>
  <c r="I14" i="83"/>
  <c r="C14" i="83"/>
  <c r="P114" i="84"/>
  <c r="O114" i="84"/>
  <c r="N114" i="84"/>
  <c r="M114" i="84"/>
  <c r="L114" i="84"/>
  <c r="K114" i="84"/>
  <c r="J114" i="84"/>
  <c r="I114" i="84"/>
  <c r="H114" i="84"/>
  <c r="G114" i="84"/>
  <c r="F114" i="84"/>
  <c r="E114" i="84"/>
  <c r="D114" i="84"/>
  <c r="Q113" i="84"/>
  <c r="R113" i="84" s="1"/>
  <c r="Q112" i="84"/>
  <c r="R112" i="84" s="1"/>
  <c r="Q111" i="84"/>
  <c r="R111" i="84" s="1"/>
  <c r="Q110" i="84"/>
  <c r="R110" i="84" s="1"/>
  <c r="Q109" i="84"/>
  <c r="R109" i="84" s="1"/>
  <c r="Q108" i="84"/>
  <c r="R108" i="84" s="1"/>
  <c r="Q107" i="84"/>
  <c r="P106" i="84"/>
  <c r="P115" i="84" s="1"/>
  <c r="O106" i="84"/>
  <c r="O115" i="84" s="1"/>
  <c r="N106" i="84"/>
  <c r="N115" i="84" s="1"/>
  <c r="M106" i="84"/>
  <c r="M115" i="84" s="1"/>
  <c r="L106" i="84"/>
  <c r="L115" i="84" s="1"/>
  <c r="K106" i="84"/>
  <c r="K115" i="84" s="1"/>
  <c r="J106" i="84"/>
  <c r="J115" i="84" s="1"/>
  <c r="I106" i="84"/>
  <c r="I115" i="84" s="1"/>
  <c r="H106" i="84"/>
  <c r="H115" i="84" s="1"/>
  <c r="G106" i="84"/>
  <c r="G115" i="84" s="1"/>
  <c r="F106" i="84"/>
  <c r="F115" i="84" s="1"/>
  <c r="E106" i="84"/>
  <c r="E115" i="84" s="1"/>
  <c r="D106" i="84"/>
  <c r="D115" i="84" s="1"/>
  <c r="Q105" i="84"/>
  <c r="Q104" i="84"/>
  <c r="R104" i="84" s="1"/>
  <c r="Q103" i="84"/>
  <c r="Q102" i="84"/>
  <c r="R102" i="84" s="1"/>
  <c r="Q101" i="84"/>
  <c r="Q100" i="84"/>
  <c r="R100" i="84" s="1"/>
  <c r="Q99" i="84"/>
  <c r="Q98" i="84"/>
  <c r="R98" i="84" s="1"/>
  <c r="Q97" i="84"/>
  <c r="R97" i="84" s="1"/>
  <c r="Q96" i="84"/>
  <c r="P94" i="84"/>
  <c r="O94" i="84"/>
  <c r="N94" i="84"/>
  <c r="M94" i="84"/>
  <c r="L94" i="84"/>
  <c r="K94" i="84"/>
  <c r="J94" i="84"/>
  <c r="I94" i="84"/>
  <c r="H94" i="84"/>
  <c r="G94" i="84"/>
  <c r="F94" i="84"/>
  <c r="E94" i="84"/>
  <c r="D94" i="84"/>
  <c r="Q93" i="84"/>
  <c r="R93" i="84" s="1"/>
  <c r="Q92" i="84"/>
  <c r="Q91" i="84"/>
  <c r="R91" i="84" s="1"/>
  <c r="Q90" i="84"/>
  <c r="Q89" i="84"/>
  <c r="Q94" i="84" s="1"/>
  <c r="P88" i="84"/>
  <c r="P95" i="84" s="1"/>
  <c r="O88" i="84"/>
  <c r="O95" i="84" s="1"/>
  <c r="N88" i="84"/>
  <c r="N95" i="84" s="1"/>
  <c r="M88" i="84"/>
  <c r="M95" i="84" s="1"/>
  <c r="L88" i="84"/>
  <c r="L95" i="84" s="1"/>
  <c r="K88" i="84"/>
  <c r="K95" i="84" s="1"/>
  <c r="J88" i="84"/>
  <c r="J95" i="84" s="1"/>
  <c r="I88" i="84"/>
  <c r="I95" i="84" s="1"/>
  <c r="H88" i="84"/>
  <c r="H95" i="84" s="1"/>
  <c r="G88" i="84"/>
  <c r="G95" i="84" s="1"/>
  <c r="F88" i="84"/>
  <c r="F95" i="84" s="1"/>
  <c r="E88" i="84"/>
  <c r="E95" i="84" s="1"/>
  <c r="D88" i="84"/>
  <c r="D95" i="84" s="1"/>
  <c r="Q87" i="84"/>
  <c r="Q86" i="84"/>
  <c r="R86" i="84" s="1"/>
  <c r="Q85" i="84"/>
  <c r="Q84" i="84"/>
  <c r="R84" i="84" s="1"/>
  <c r="Q83" i="84"/>
  <c r="Q82" i="84"/>
  <c r="R82" i="84" s="1"/>
  <c r="Q81" i="84"/>
  <c r="Q80" i="84"/>
  <c r="R80" i="84" s="1"/>
  <c r="Q79" i="84"/>
  <c r="Q78" i="84"/>
  <c r="P76" i="84"/>
  <c r="O76" i="84"/>
  <c r="N76" i="84"/>
  <c r="M76" i="84"/>
  <c r="L76" i="84"/>
  <c r="K76" i="84"/>
  <c r="J76" i="84"/>
  <c r="I76" i="84"/>
  <c r="H76" i="84"/>
  <c r="G76" i="84"/>
  <c r="F76" i="84"/>
  <c r="E76" i="84"/>
  <c r="D76" i="84"/>
  <c r="Q75" i="84"/>
  <c r="Q74" i="84"/>
  <c r="R74" i="84" s="1"/>
  <c r="Q73" i="84"/>
  <c r="Q72" i="84"/>
  <c r="R72" i="84" s="1"/>
  <c r="P71" i="84"/>
  <c r="P77" i="84" s="1"/>
  <c r="O71" i="84"/>
  <c r="O77" i="84" s="1"/>
  <c r="N71" i="84"/>
  <c r="N77" i="84" s="1"/>
  <c r="M71" i="84"/>
  <c r="M77" i="84" s="1"/>
  <c r="L71" i="84"/>
  <c r="L77" i="84" s="1"/>
  <c r="K71" i="84"/>
  <c r="K77" i="84" s="1"/>
  <c r="J71" i="84"/>
  <c r="J77" i="84" s="1"/>
  <c r="I71" i="84"/>
  <c r="I77" i="84" s="1"/>
  <c r="H71" i="84"/>
  <c r="H77" i="84" s="1"/>
  <c r="G71" i="84"/>
  <c r="G77" i="84" s="1"/>
  <c r="F71" i="84"/>
  <c r="F77" i="84" s="1"/>
  <c r="E71" i="84"/>
  <c r="E77" i="84" s="1"/>
  <c r="D71" i="84"/>
  <c r="D77" i="84" s="1"/>
  <c r="Q70" i="84"/>
  <c r="Q69" i="84"/>
  <c r="R69" i="84" s="1"/>
  <c r="Q68" i="84"/>
  <c r="Q67" i="84"/>
  <c r="R67" i="84" s="1"/>
  <c r="Q66" i="84"/>
  <c r="Q65" i="84"/>
  <c r="R65" i="84" s="1"/>
  <c r="Q64" i="84"/>
  <c r="Q63" i="84"/>
  <c r="R63" i="84" s="1"/>
  <c r="Q62" i="84"/>
  <c r="Q61" i="84"/>
  <c r="P59" i="84"/>
  <c r="O59" i="84"/>
  <c r="N59" i="84"/>
  <c r="M59" i="84"/>
  <c r="L59" i="84"/>
  <c r="K59" i="84"/>
  <c r="J59" i="84"/>
  <c r="I59" i="84"/>
  <c r="H59" i="84"/>
  <c r="G59" i="84"/>
  <c r="F59" i="84"/>
  <c r="E59" i="84"/>
  <c r="D59" i="84"/>
  <c r="Q58" i="84"/>
  <c r="R58" i="84" s="1"/>
  <c r="Q57" i="84"/>
  <c r="Q56" i="84"/>
  <c r="R56" i="84" s="1"/>
  <c r="Q55" i="84"/>
  <c r="P54" i="84"/>
  <c r="P60" i="84" s="1"/>
  <c r="O54" i="84"/>
  <c r="O60" i="84" s="1"/>
  <c r="N54" i="84"/>
  <c r="N60" i="84" s="1"/>
  <c r="I54" i="84"/>
  <c r="I60" i="84" s="1"/>
  <c r="H54" i="84"/>
  <c r="H60" i="84" s="1"/>
  <c r="G54" i="84"/>
  <c r="G60" i="84" s="1"/>
  <c r="F54" i="84"/>
  <c r="F60" i="84" s="1"/>
  <c r="E54" i="84"/>
  <c r="E60" i="84" s="1"/>
  <c r="D54" i="84"/>
  <c r="D60" i="84" s="1"/>
  <c r="Q53" i="84"/>
  <c r="R53" i="84" s="1"/>
  <c r="Q52" i="84"/>
  <c r="R52" i="84" s="1"/>
  <c r="Q51" i="84"/>
  <c r="R51" i="84" s="1"/>
  <c r="Q50" i="84"/>
  <c r="R50" i="84" s="1"/>
  <c r="Q49" i="84"/>
  <c r="R49" i="84" s="1"/>
  <c r="Q48" i="84"/>
  <c r="M48" i="84"/>
  <c r="M54" i="84" s="1"/>
  <c r="M60" i="84" s="1"/>
  <c r="L48" i="84"/>
  <c r="L54" i="84" s="1"/>
  <c r="L60" i="84" s="1"/>
  <c r="K48" i="84"/>
  <c r="K54" i="84" s="1"/>
  <c r="K60" i="84" s="1"/>
  <c r="J48" i="84"/>
  <c r="J54" i="84" s="1"/>
  <c r="J60" i="84" s="1"/>
  <c r="Q47" i="84"/>
  <c r="R47" i="84" s="1"/>
  <c r="Q46" i="84"/>
  <c r="R46" i="84" s="1"/>
  <c r="Q45" i="84"/>
  <c r="R45" i="84" s="1"/>
  <c r="Q44" i="84"/>
  <c r="P42" i="84"/>
  <c r="O42" i="84"/>
  <c r="N42" i="84"/>
  <c r="M42" i="84"/>
  <c r="L42" i="84"/>
  <c r="K42" i="84"/>
  <c r="J42" i="84"/>
  <c r="I42" i="84"/>
  <c r="H42" i="84"/>
  <c r="G42" i="84"/>
  <c r="F42" i="84"/>
  <c r="E42" i="84"/>
  <c r="D42" i="84"/>
  <c r="Q41" i="84"/>
  <c r="Q40" i="84"/>
  <c r="R40" i="84" s="1"/>
  <c r="Q39" i="84"/>
  <c r="P38" i="84"/>
  <c r="P43" i="84" s="1"/>
  <c r="O38" i="84"/>
  <c r="O43" i="84" s="1"/>
  <c r="N38" i="84"/>
  <c r="N43" i="84" s="1"/>
  <c r="M38" i="84"/>
  <c r="M43" i="84" s="1"/>
  <c r="L38" i="84"/>
  <c r="L43" i="84" s="1"/>
  <c r="K38" i="84"/>
  <c r="K43" i="84" s="1"/>
  <c r="J38" i="84"/>
  <c r="J43" i="84" s="1"/>
  <c r="I38" i="84"/>
  <c r="I43" i="84" s="1"/>
  <c r="H38" i="84"/>
  <c r="H43" i="84" s="1"/>
  <c r="G38" i="84"/>
  <c r="G43" i="84" s="1"/>
  <c r="F38" i="84"/>
  <c r="F43" i="84" s="1"/>
  <c r="E38" i="84"/>
  <c r="E43" i="84" s="1"/>
  <c r="D38" i="84"/>
  <c r="D43" i="84" s="1"/>
  <c r="Q37" i="84"/>
  <c r="R37" i="84" s="1"/>
  <c r="Q36" i="84"/>
  <c r="Q35" i="84"/>
  <c r="R35" i="84" s="1"/>
  <c r="Q34" i="84"/>
  <c r="Q33" i="84"/>
  <c r="R33" i="84" s="1"/>
  <c r="P31" i="84"/>
  <c r="O31" i="84"/>
  <c r="N31" i="84"/>
  <c r="M31" i="84"/>
  <c r="L31" i="84"/>
  <c r="K31" i="84"/>
  <c r="J31" i="84"/>
  <c r="I31" i="84"/>
  <c r="H31" i="84"/>
  <c r="G31" i="84"/>
  <c r="F31" i="84"/>
  <c r="E31" i="84"/>
  <c r="D31" i="84"/>
  <c r="Q30" i="84"/>
  <c r="R30" i="84" s="1"/>
  <c r="Q29" i="84"/>
  <c r="Q28" i="84"/>
  <c r="P27" i="84"/>
  <c r="P32" i="84" s="1"/>
  <c r="O27" i="84"/>
  <c r="O32" i="84" s="1"/>
  <c r="N27" i="84"/>
  <c r="N32" i="84" s="1"/>
  <c r="M27" i="84"/>
  <c r="M32" i="84" s="1"/>
  <c r="L27" i="84"/>
  <c r="L32" i="84" s="1"/>
  <c r="K27" i="84"/>
  <c r="K32" i="84" s="1"/>
  <c r="J27" i="84"/>
  <c r="J32" i="84" s="1"/>
  <c r="I27" i="84"/>
  <c r="I32" i="84" s="1"/>
  <c r="H27" i="84"/>
  <c r="H32" i="84" s="1"/>
  <c r="G27" i="84"/>
  <c r="G32" i="84" s="1"/>
  <c r="F27" i="84"/>
  <c r="F32" i="84" s="1"/>
  <c r="E27" i="84"/>
  <c r="E32" i="84" s="1"/>
  <c r="D27" i="84"/>
  <c r="D32" i="84" s="1"/>
  <c r="Q26" i="84"/>
  <c r="Q25" i="84"/>
  <c r="R25" i="84" s="1"/>
  <c r="Q24" i="84"/>
  <c r="R24" i="84" s="1"/>
  <c r="Q23" i="84"/>
  <c r="R23" i="84" s="1"/>
  <c r="Q22" i="84"/>
  <c r="P20" i="84"/>
  <c r="P117" i="84" s="1"/>
  <c r="O20" i="84"/>
  <c r="O117" i="84" s="1"/>
  <c r="N20" i="84"/>
  <c r="N117" i="84" s="1"/>
  <c r="M20" i="84"/>
  <c r="M117" i="84" s="1"/>
  <c r="L20" i="84"/>
  <c r="L117" i="84" s="1"/>
  <c r="K20" i="84"/>
  <c r="K117" i="84" s="1"/>
  <c r="J20" i="84"/>
  <c r="J117" i="84" s="1"/>
  <c r="I20" i="84"/>
  <c r="I117" i="84" s="1"/>
  <c r="H20" i="84"/>
  <c r="H117" i="84" s="1"/>
  <c r="G20" i="84"/>
  <c r="G117" i="84" s="1"/>
  <c r="F20" i="84"/>
  <c r="F117" i="84" s="1"/>
  <c r="E20" i="84"/>
  <c r="E117" i="84" s="1"/>
  <c r="D20" i="84"/>
  <c r="D117" i="84" s="1"/>
  <c r="Q19" i="84"/>
  <c r="R19" i="84" s="1"/>
  <c r="Q18" i="84"/>
  <c r="R18" i="84" s="1"/>
  <c r="Q17" i="84"/>
  <c r="R17" i="84" s="1"/>
  <c r="Q16" i="84"/>
  <c r="R16" i="84" s="1"/>
  <c r="Q15" i="84"/>
  <c r="R15" i="84" s="1"/>
  <c r="Q14" i="84"/>
  <c r="R14" i="84" s="1"/>
  <c r="Q13" i="84"/>
  <c r="R13" i="84" s="1"/>
  <c r="Q12" i="84"/>
  <c r="R12" i="84" s="1"/>
  <c r="Q11" i="84"/>
  <c r="P10" i="84"/>
  <c r="O10" i="84"/>
  <c r="N10" i="84"/>
  <c r="N116" i="84" s="1"/>
  <c r="N118" i="84" s="1"/>
  <c r="M10" i="84"/>
  <c r="M116" i="84" s="1"/>
  <c r="M118" i="84" s="1"/>
  <c r="L10" i="84"/>
  <c r="L116" i="84" s="1"/>
  <c r="L118" i="84" s="1"/>
  <c r="K10" i="84"/>
  <c r="K116" i="84" s="1"/>
  <c r="K118" i="84" s="1"/>
  <c r="J10" i="84"/>
  <c r="J116" i="84" s="1"/>
  <c r="J118" i="84" s="1"/>
  <c r="I10" i="84"/>
  <c r="I116" i="84" s="1"/>
  <c r="I118" i="84" s="1"/>
  <c r="H10" i="84"/>
  <c r="H116" i="84" s="1"/>
  <c r="H118" i="84" s="1"/>
  <c r="G10" i="84"/>
  <c r="G116" i="84" s="1"/>
  <c r="G118" i="84" s="1"/>
  <c r="F10" i="84"/>
  <c r="F116" i="84" s="1"/>
  <c r="F118" i="84" s="1"/>
  <c r="E10" i="84"/>
  <c r="E116" i="84" s="1"/>
  <c r="E118" i="84" s="1"/>
  <c r="D10" i="84"/>
  <c r="D116" i="84" s="1"/>
  <c r="Q9" i="84"/>
  <c r="R9" i="84" s="1"/>
  <c r="Q8" i="84"/>
  <c r="R8" i="84" s="1"/>
  <c r="Q7" i="84"/>
  <c r="R7" i="84" s="1"/>
  <c r="Q6" i="84"/>
  <c r="R6" i="84" s="1"/>
  <c r="Q5" i="84"/>
  <c r="R5" i="84" s="1"/>
  <c r="Q4" i="84"/>
  <c r="R64" i="82"/>
  <c r="Q64" i="82"/>
  <c r="P64" i="82"/>
  <c r="O64" i="82"/>
  <c r="N64" i="82"/>
  <c r="M64" i="82"/>
  <c r="L64" i="82"/>
  <c r="K64" i="82"/>
  <c r="J64" i="82"/>
  <c r="I64" i="82"/>
  <c r="H64" i="82"/>
  <c r="G64" i="82"/>
  <c r="F64" i="82"/>
  <c r="E64" i="82"/>
  <c r="D64" i="82"/>
  <c r="Q59" i="82"/>
  <c r="Q65" i="82" s="1"/>
  <c r="P59" i="82"/>
  <c r="P65" i="82" s="1"/>
  <c r="O59" i="82"/>
  <c r="O65" i="82" s="1"/>
  <c r="N59" i="82"/>
  <c r="N65" i="82" s="1"/>
  <c r="M59" i="82"/>
  <c r="M65" i="82" s="1"/>
  <c r="L59" i="82"/>
  <c r="L65" i="82" s="1"/>
  <c r="K59" i="82"/>
  <c r="K65" i="82" s="1"/>
  <c r="J59" i="82"/>
  <c r="J65" i="82" s="1"/>
  <c r="I59" i="82"/>
  <c r="I65" i="82" s="1"/>
  <c r="H59" i="82"/>
  <c r="H65" i="82" s="1"/>
  <c r="G59" i="82"/>
  <c r="G65" i="82" s="1"/>
  <c r="F59" i="82"/>
  <c r="F65" i="82" s="1"/>
  <c r="E59" i="82"/>
  <c r="E65" i="82" s="1"/>
  <c r="D59" i="82"/>
  <c r="D65" i="82" s="1"/>
  <c r="R58" i="82"/>
  <c r="R57" i="82"/>
  <c r="R56" i="82"/>
  <c r="R55" i="82"/>
  <c r="R54" i="82"/>
  <c r="R53" i="82"/>
  <c r="R52" i="82"/>
  <c r="R51" i="82"/>
  <c r="R50" i="82"/>
  <c r="R49" i="82"/>
  <c r="R59" i="82" s="1"/>
  <c r="R65" i="82" s="1"/>
  <c r="Q47" i="82"/>
  <c r="P47" i="82"/>
  <c r="O47" i="82"/>
  <c r="N47" i="82"/>
  <c r="M47" i="82"/>
  <c r="L47" i="82"/>
  <c r="K47" i="82"/>
  <c r="J47" i="82"/>
  <c r="I47" i="82"/>
  <c r="H47" i="82"/>
  <c r="G47" i="82"/>
  <c r="F47" i="82"/>
  <c r="E47" i="82"/>
  <c r="D47" i="82"/>
  <c r="R46" i="82"/>
  <c r="R45" i="82"/>
  <c r="R44" i="82"/>
  <c r="R43" i="82"/>
  <c r="R47" i="82" s="1"/>
  <c r="Q42" i="82"/>
  <c r="Q48" i="82" s="1"/>
  <c r="P42" i="82"/>
  <c r="P48" i="82" s="1"/>
  <c r="O42" i="82"/>
  <c r="O48" i="82" s="1"/>
  <c r="N42" i="82"/>
  <c r="N48" i="82" s="1"/>
  <c r="M42" i="82"/>
  <c r="M48" i="82" s="1"/>
  <c r="L42" i="82"/>
  <c r="L48" i="82" s="1"/>
  <c r="K42" i="82"/>
  <c r="K48" i="82" s="1"/>
  <c r="J42" i="82"/>
  <c r="J48" i="82" s="1"/>
  <c r="I42" i="82"/>
  <c r="I48" i="82" s="1"/>
  <c r="H42" i="82"/>
  <c r="H48" i="82" s="1"/>
  <c r="G42" i="82"/>
  <c r="G48" i="82" s="1"/>
  <c r="F42" i="82"/>
  <c r="F48" i="82" s="1"/>
  <c r="E42" i="82"/>
  <c r="E48" i="82" s="1"/>
  <c r="D42" i="82"/>
  <c r="D48" i="82" s="1"/>
  <c r="R41" i="82"/>
  <c r="R40" i="82"/>
  <c r="R39" i="82"/>
  <c r="R38" i="82"/>
  <c r="R37" i="82"/>
  <c r="R36" i="82"/>
  <c r="R35" i="82"/>
  <c r="R34" i="82"/>
  <c r="R33" i="82"/>
  <c r="R32" i="82"/>
  <c r="R42" i="82" s="1"/>
  <c r="R48" i="82" s="1"/>
  <c r="Q30" i="82"/>
  <c r="P30" i="82"/>
  <c r="O30" i="82"/>
  <c r="N30" i="82"/>
  <c r="M30" i="82"/>
  <c r="L30" i="82"/>
  <c r="K30" i="82"/>
  <c r="J30" i="82"/>
  <c r="I30" i="82"/>
  <c r="H30" i="82"/>
  <c r="G30" i="82"/>
  <c r="F30" i="82"/>
  <c r="E30" i="82"/>
  <c r="D30" i="82"/>
  <c r="R29" i="82"/>
  <c r="R28" i="82"/>
  <c r="R30" i="82" s="1"/>
  <c r="Q27" i="82"/>
  <c r="Q31" i="82" s="1"/>
  <c r="P27" i="82"/>
  <c r="P31" i="82" s="1"/>
  <c r="O27" i="82"/>
  <c r="O31" i="82" s="1"/>
  <c r="N27" i="82"/>
  <c r="N31" i="82" s="1"/>
  <c r="M27" i="82"/>
  <c r="M31" i="82" s="1"/>
  <c r="L27" i="82"/>
  <c r="L31" i="82" s="1"/>
  <c r="K27" i="82"/>
  <c r="K31" i="82" s="1"/>
  <c r="J27" i="82"/>
  <c r="J31" i="82" s="1"/>
  <c r="I27" i="82"/>
  <c r="I31" i="82" s="1"/>
  <c r="H27" i="82"/>
  <c r="H31" i="82" s="1"/>
  <c r="G27" i="82"/>
  <c r="G31" i="82" s="1"/>
  <c r="F27" i="82"/>
  <c r="F31" i="82" s="1"/>
  <c r="E27" i="82"/>
  <c r="E31" i="82" s="1"/>
  <c r="D27" i="82"/>
  <c r="D31" i="82" s="1"/>
  <c r="R26" i="82"/>
  <c r="R25" i="82"/>
  <c r="R24" i="82"/>
  <c r="R23" i="82"/>
  <c r="R22" i="82"/>
  <c r="R27" i="82" s="1"/>
  <c r="R31" i="82" s="1"/>
  <c r="Q20" i="82"/>
  <c r="P20" i="82"/>
  <c r="O20" i="82"/>
  <c r="N20" i="82"/>
  <c r="M20" i="82"/>
  <c r="L20" i="82"/>
  <c r="K20" i="82"/>
  <c r="J20" i="82"/>
  <c r="I20" i="82"/>
  <c r="H20" i="82"/>
  <c r="G20" i="82"/>
  <c r="F20" i="82"/>
  <c r="E20" i="82"/>
  <c r="D20" i="82"/>
  <c r="R19" i="82"/>
  <c r="R18" i="82"/>
  <c r="R17" i="82"/>
  <c r="R16" i="82"/>
  <c r="R15" i="82"/>
  <c r="R14" i="82"/>
  <c r="R13" i="82"/>
  <c r="R12" i="82"/>
  <c r="R11" i="82"/>
  <c r="R20" i="82" s="1"/>
  <c r="Q10" i="82"/>
  <c r="Q21" i="82" s="1"/>
  <c r="Q66" i="82" s="1"/>
  <c r="P10" i="82"/>
  <c r="P21" i="82" s="1"/>
  <c r="P66" i="82" s="1"/>
  <c r="O10" i="82"/>
  <c r="O21" i="82" s="1"/>
  <c r="O66" i="82" s="1"/>
  <c r="N10" i="82"/>
  <c r="N21" i="82" s="1"/>
  <c r="N66" i="82" s="1"/>
  <c r="M10" i="82"/>
  <c r="M21" i="82" s="1"/>
  <c r="M66" i="82" s="1"/>
  <c r="L10" i="82"/>
  <c r="L21" i="82" s="1"/>
  <c r="L66" i="82" s="1"/>
  <c r="K10" i="82"/>
  <c r="K21" i="82" s="1"/>
  <c r="K66" i="82" s="1"/>
  <c r="J10" i="82"/>
  <c r="J21" i="82" s="1"/>
  <c r="J66" i="82" s="1"/>
  <c r="I10" i="82"/>
  <c r="I21" i="82" s="1"/>
  <c r="I66" i="82" s="1"/>
  <c r="H10" i="82"/>
  <c r="H21" i="82" s="1"/>
  <c r="H66" i="82" s="1"/>
  <c r="G10" i="82"/>
  <c r="G21" i="82" s="1"/>
  <c r="G66" i="82" s="1"/>
  <c r="F10" i="82"/>
  <c r="F21" i="82" s="1"/>
  <c r="F66" i="82" s="1"/>
  <c r="E10" i="82"/>
  <c r="E21" i="82" s="1"/>
  <c r="E66" i="82" s="1"/>
  <c r="D10" i="82"/>
  <c r="D21" i="82" s="1"/>
  <c r="D66" i="82" s="1"/>
  <c r="R9" i="82"/>
  <c r="R8" i="82"/>
  <c r="R7" i="82"/>
  <c r="R6" i="82"/>
  <c r="R5" i="82"/>
  <c r="R4" i="82"/>
  <c r="R10" i="82" s="1"/>
  <c r="R21" i="82" s="1"/>
  <c r="R66" i="82" s="1"/>
  <c r="Q20" i="84" l="1"/>
  <c r="Q27" i="84"/>
  <c r="Q31" i="84"/>
  <c r="O16" i="89"/>
  <c r="O19" i="89"/>
  <c r="D21" i="86" s="1"/>
  <c r="D5" i="86" s="1"/>
  <c r="Q71" i="84"/>
  <c r="Q59" i="84"/>
  <c r="R61" i="84"/>
  <c r="Q88" i="84"/>
  <c r="Q95" i="84" s="1"/>
  <c r="Q10" i="84"/>
  <c r="Q76" i="84"/>
  <c r="Q77" i="84" s="1"/>
  <c r="R78" i="84"/>
  <c r="R55" i="84"/>
  <c r="Q106" i="84"/>
  <c r="Q114" i="84"/>
  <c r="Q21" i="84"/>
  <c r="D118" i="84"/>
  <c r="P116" i="84"/>
  <c r="P118" i="84" s="1"/>
  <c r="P21" i="84"/>
  <c r="D21" i="84"/>
  <c r="F21" i="84"/>
  <c r="H21" i="84"/>
  <c r="J21" i="84"/>
  <c r="L21" i="84"/>
  <c r="N21" i="84"/>
  <c r="R4" i="84"/>
  <c r="R10" i="84" s="1"/>
  <c r="O116" i="84"/>
  <c r="O118" i="84" s="1"/>
  <c r="O21" i="84"/>
  <c r="R11" i="84"/>
  <c r="R20" i="84" s="1"/>
  <c r="E21" i="84"/>
  <c r="G21" i="84"/>
  <c r="I21" i="84"/>
  <c r="K21" i="84"/>
  <c r="M21" i="84"/>
  <c r="R22" i="84"/>
  <c r="R26" i="84"/>
  <c r="R29" i="84"/>
  <c r="R34" i="84"/>
  <c r="R36" i="84"/>
  <c r="Q38" i="84"/>
  <c r="R39" i="84"/>
  <c r="R41" i="84"/>
  <c r="Q42" i="84"/>
  <c r="Q117" i="84" s="1"/>
  <c r="R117" i="84" s="1"/>
  <c r="R44" i="84"/>
  <c r="R48" i="84"/>
  <c r="Q54" i="84"/>
  <c r="R57" i="84"/>
  <c r="R59" i="84" s="1"/>
  <c r="R62" i="84"/>
  <c r="R64" i="84"/>
  <c r="R66" i="84"/>
  <c r="R68" i="84"/>
  <c r="R70" i="84"/>
  <c r="R73" i="84"/>
  <c r="R76" i="84" s="1"/>
  <c r="R75" i="84"/>
  <c r="R28" i="84"/>
  <c r="R31" i="84" s="1"/>
  <c r="R79" i="84"/>
  <c r="R81" i="84"/>
  <c r="R83" i="84"/>
  <c r="R85" i="84"/>
  <c r="R87" i="84"/>
  <c r="R90" i="84"/>
  <c r="R92" i="84"/>
  <c r="R99" i="84"/>
  <c r="R101" i="84"/>
  <c r="R103" i="84"/>
  <c r="R105" i="84"/>
  <c r="R89" i="84"/>
  <c r="R96" i="84"/>
  <c r="R107" i="84"/>
  <c r="R114" i="84" s="1"/>
  <c r="C8" i="48"/>
  <c r="H50" i="48"/>
  <c r="F50" i="48"/>
  <c r="D50" i="48"/>
  <c r="C50" i="48"/>
  <c r="J49" i="48"/>
  <c r="J48" i="48"/>
  <c r="J47" i="48"/>
  <c r="J46" i="48"/>
  <c r="J45" i="48"/>
  <c r="J44" i="48"/>
  <c r="J43" i="48"/>
  <c r="J42" i="48"/>
  <c r="J41" i="48"/>
  <c r="J40" i="48"/>
  <c r="J39" i="48"/>
  <c r="J38" i="48"/>
  <c r="C7" i="48"/>
  <c r="J24" i="48"/>
  <c r="J25" i="48"/>
  <c r="J26" i="48"/>
  <c r="J27" i="48"/>
  <c r="J28" i="48"/>
  <c r="J29" i="48"/>
  <c r="J30" i="48"/>
  <c r="J31" i="48"/>
  <c r="J32" i="48"/>
  <c r="J33" i="48"/>
  <c r="J34" i="48"/>
  <c r="J35" i="48"/>
  <c r="J23" i="48"/>
  <c r="H35" i="48"/>
  <c r="F35" i="48"/>
  <c r="D35" i="48"/>
  <c r="C35" i="48"/>
  <c r="J19" i="48"/>
  <c r="D20" i="48" s="1"/>
  <c r="E18" i="48"/>
  <c r="G18" i="48"/>
  <c r="I18" i="48"/>
  <c r="C18" i="48"/>
  <c r="J17" i="48"/>
  <c r="D18" i="48" s="1"/>
  <c r="Q32" i="84" l="1"/>
  <c r="Q60" i="84"/>
  <c r="D22" i="86"/>
  <c r="R106" i="84"/>
  <c r="R94" i="84"/>
  <c r="R38" i="84"/>
  <c r="Q115" i="84"/>
  <c r="R88" i="84"/>
  <c r="R95" i="84" s="1"/>
  <c r="R42" i="84"/>
  <c r="R71" i="84"/>
  <c r="R77" i="84" s="1"/>
  <c r="C76" i="84" s="1"/>
  <c r="R115" i="84"/>
  <c r="C114" i="84" s="1"/>
  <c r="Q43" i="84"/>
  <c r="R21" i="84"/>
  <c r="C20" i="84" s="1"/>
  <c r="C94" i="84"/>
  <c r="R54" i="84"/>
  <c r="R60" i="84" s="1"/>
  <c r="C59" i="84" s="1"/>
  <c r="R27" i="84"/>
  <c r="R32" i="84" s="1"/>
  <c r="C31" i="84" s="1"/>
  <c r="Q116" i="84"/>
  <c r="J50" i="48"/>
  <c r="H20" i="48"/>
  <c r="J18" i="48"/>
  <c r="H18" i="48"/>
  <c r="F18" i="48"/>
  <c r="C20" i="48"/>
  <c r="I20" i="48"/>
  <c r="G20" i="48"/>
  <c r="E20" i="48"/>
  <c r="J20" i="48"/>
  <c r="F20" i="48"/>
  <c r="B10" i="48"/>
  <c r="B9" i="48"/>
  <c r="B8" i="48"/>
  <c r="B7" i="48"/>
  <c r="C6" i="48"/>
  <c r="C12" i="48"/>
  <c r="C13" i="48"/>
  <c r="R43" i="84" l="1"/>
  <c r="C42" i="84" s="1"/>
  <c r="Q118" i="84"/>
  <c r="R116" i="84"/>
  <c r="R118" i="84" s="1"/>
  <c r="C117" i="84" s="1"/>
  <c r="B5" i="48"/>
  <c r="C11" i="48"/>
  <c r="C14" i="48" s="1"/>
  <c r="B41" i="81" l="1"/>
  <c r="H41" i="81" s="1"/>
  <c r="C81" i="81"/>
  <c r="B81" i="81"/>
  <c r="B71" i="38"/>
  <c r="B32" i="18"/>
  <c r="B31" i="18"/>
  <c r="C31" i="18" s="1"/>
  <c r="B28" i="18"/>
  <c r="F7" i="81"/>
  <c r="G7" i="81" s="1"/>
  <c r="H7" i="81" s="1"/>
  <c r="C82" i="81"/>
  <c r="B82" i="81"/>
  <c r="C80" i="81"/>
  <c r="B80" i="81"/>
  <c r="C79" i="81"/>
  <c r="B79" i="81"/>
  <c r="B65" i="38" l="1"/>
  <c r="E63" i="43" s="1"/>
  <c r="F45" i="81" l="1"/>
  <c r="G45" i="81" s="1"/>
  <c r="F47" i="81"/>
  <c r="G47" i="81" s="1"/>
  <c r="F48" i="81"/>
  <c r="G48" i="81" s="1"/>
  <c r="F51" i="81"/>
  <c r="G51" i="81" s="1"/>
  <c r="F52" i="81"/>
  <c r="G52" i="81" s="1"/>
  <c r="F53" i="81"/>
  <c r="G53" i="81" s="1"/>
  <c r="F54" i="81"/>
  <c r="G54" i="81" s="1"/>
  <c r="F43" i="81"/>
  <c r="G43" i="81" s="1"/>
  <c r="F40" i="81"/>
  <c r="G40" i="81" s="1"/>
  <c r="F39" i="81"/>
  <c r="G39" i="81" s="1"/>
  <c r="F19" i="81"/>
  <c r="G19" i="81" s="1"/>
  <c r="F21" i="81"/>
  <c r="G21" i="81" s="1"/>
  <c r="F23" i="81"/>
  <c r="G23" i="81" s="1"/>
  <c r="F25" i="81"/>
  <c r="G25" i="81" s="1"/>
  <c r="F27" i="81"/>
  <c r="G27" i="81" s="1"/>
  <c r="F29" i="81"/>
  <c r="G29" i="81" s="1"/>
  <c r="F30" i="81"/>
  <c r="G30" i="81" s="1"/>
  <c r="F31" i="81"/>
  <c r="G31" i="81" s="1"/>
  <c r="F32" i="81"/>
  <c r="G32" i="81" s="1"/>
  <c r="F35" i="81"/>
  <c r="G35" i="81" s="1"/>
  <c r="F36" i="81"/>
  <c r="G36" i="81" s="1"/>
  <c r="F8" i="81"/>
  <c r="G8" i="81" s="1"/>
  <c r="H8" i="81" s="1"/>
  <c r="F11" i="81"/>
  <c r="G11" i="81" s="1"/>
  <c r="F12" i="81"/>
  <c r="G12" i="81" s="1"/>
  <c r="F13" i="81"/>
  <c r="G13" i="81" s="1"/>
  <c r="F14" i="81"/>
  <c r="G14" i="81" s="1"/>
  <c r="H14" i="81" l="1"/>
  <c r="B15" i="81"/>
  <c r="C83" i="81"/>
  <c r="B83" i="81"/>
  <c r="D82" i="81"/>
  <c r="E82" i="81" s="1"/>
  <c r="D81" i="81"/>
  <c r="E81" i="81" s="1"/>
  <c r="D80" i="81"/>
  <c r="E80" i="81" s="1"/>
  <c r="D79" i="81"/>
  <c r="E79" i="81" s="1"/>
  <c r="E16" i="39"/>
  <c r="F16" i="71" s="1"/>
  <c r="E15" i="39"/>
  <c r="F15" i="71" s="1"/>
  <c r="E14" i="39"/>
  <c r="F14" i="71" s="1"/>
  <c r="E13" i="39"/>
  <c r="F13" i="71" s="1"/>
  <c r="E12" i="39"/>
  <c r="F12" i="71" s="1"/>
  <c r="E11" i="39"/>
  <c r="F11" i="71" s="1"/>
  <c r="E10" i="39"/>
  <c r="F10" i="71" s="1"/>
  <c r="E9" i="39"/>
  <c r="F9" i="71" s="1"/>
  <c r="E8" i="39"/>
  <c r="F8" i="71" s="1"/>
  <c r="E7" i="39"/>
  <c r="F7" i="71" s="1"/>
  <c r="B55" i="81"/>
  <c r="H54" i="81"/>
  <c r="H53" i="81"/>
  <c r="H52" i="81"/>
  <c r="H51" i="81"/>
  <c r="H48" i="81"/>
  <c r="H47" i="81"/>
  <c r="H45" i="81"/>
  <c r="H43" i="81"/>
  <c r="H40" i="81"/>
  <c r="H39" i="81"/>
  <c r="B37" i="81"/>
  <c r="H36" i="81"/>
  <c r="H35" i="81"/>
  <c r="H32" i="81"/>
  <c r="H31" i="81"/>
  <c r="H30" i="81"/>
  <c r="H29" i="81"/>
  <c r="H27" i="81"/>
  <c r="H25" i="81"/>
  <c r="H23" i="81"/>
  <c r="H21" i="81"/>
  <c r="H19" i="81"/>
  <c r="H13" i="81"/>
  <c r="H12" i="81"/>
  <c r="H11" i="81"/>
  <c r="E12" i="43"/>
  <c r="E6" i="43"/>
  <c r="B6" i="48"/>
  <c r="I10" i="48"/>
  <c r="I9" i="48"/>
  <c r="H10" i="48"/>
  <c r="H9" i="48"/>
  <c r="G10" i="48"/>
  <c r="G9" i="48"/>
  <c r="F10" i="48"/>
  <c r="F9" i="48"/>
  <c r="E10" i="48"/>
  <c r="E9" i="48"/>
  <c r="D10" i="48"/>
  <c r="D9" i="48"/>
  <c r="E11" i="48" l="1"/>
  <c r="E6" i="39"/>
  <c r="F6" i="71" s="1"/>
  <c r="B12" i="48"/>
  <c r="B34" i="18" s="1"/>
  <c r="C73" i="81"/>
  <c r="C74" i="81" s="1"/>
  <c r="B46" i="41"/>
  <c r="B48" i="41"/>
  <c r="B45" i="41"/>
  <c r="B47" i="41"/>
  <c r="B57" i="81"/>
  <c r="D83" i="81"/>
  <c r="E83" i="81" s="1"/>
  <c r="B13" i="48"/>
  <c r="E8" i="43" s="1"/>
  <c r="E15" i="43" s="1"/>
  <c r="C32" i="18" l="1"/>
  <c r="B11" i="48" l="1"/>
  <c r="B14" i="48" s="1"/>
  <c r="E40" i="39" s="1"/>
  <c r="B11" i="40"/>
  <c r="B10" i="40"/>
  <c r="F44" i="81" l="1"/>
  <c r="G44" i="81" s="1"/>
  <c r="H44" i="81" s="1"/>
  <c r="F46" i="81"/>
  <c r="G46" i="81" s="1"/>
  <c r="H46" i="81" s="1"/>
  <c r="F50" i="81"/>
  <c r="G50" i="81" s="1"/>
  <c r="H50" i="81" s="1"/>
  <c r="F49" i="81"/>
  <c r="G49" i="81" s="1"/>
  <c r="H49" i="81" s="1"/>
  <c r="F18" i="81"/>
  <c r="G18" i="81" s="1"/>
  <c r="H18" i="81" s="1"/>
  <c r="F20" i="81"/>
  <c r="G20" i="81" s="1"/>
  <c r="H20" i="81" s="1"/>
  <c r="F22" i="81"/>
  <c r="G22" i="81" s="1"/>
  <c r="H22" i="81" s="1"/>
  <c r="F24" i="81"/>
  <c r="G24" i="81" s="1"/>
  <c r="H24" i="81" s="1"/>
  <c r="F26" i="81"/>
  <c r="G26" i="81" s="1"/>
  <c r="H26" i="81" s="1"/>
  <c r="F28" i="81"/>
  <c r="G28" i="81" s="1"/>
  <c r="H28" i="81" s="1"/>
  <c r="F34" i="81"/>
  <c r="G34" i="81" s="1"/>
  <c r="H34" i="81" s="1"/>
  <c r="F33" i="81"/>
  <c r="G33" i="81" s="1"/>
  <c r="H33" i="81" s="1"/>
  <c r="F17" i="81"/>
  <c r="G17" i="81" s="1"/>
  <c r="H17" i="81" s="1"/>
  <c r="F9" i="81"/>
  <c r="G9" i="81" s="1"/>
  <c r="H9" i="81" s="1"/>
  <c r="F10" i="81"/>
  <c r="G10" i="81" s="1"/>
  <c r="H10" i="81" s="1"/>
  <c r="E7" i="71"/>
  <c r="H37" i="81" l="1"/>
  <c r="H15" i="81"/>
  <c r="H55" i="81"/>
  <c r="E27" i="43"/>
  <c r="H57" i="81" l="1"/>
  <c r="C22" i="90" s="1"/>
  <c r="C28" i="90" s="1"/>
  <c r="C32" i="90" s="1"/>
  <c r="C44" i="90" s="1"/>
  <c r="C7" i="71"/>
  <c r="C7" i="39"/>
  <c r="C8" i="39" s="1"/>
  <c r="C9" i="39" s="1"/>
  <c r="C10" i="39" s="1"/>
  <c r="C11" i="39" s="1"/>
  <c r="C12" i="39" s="1"/>
  <c r="C13" i="39" s="1"/>
  <c r="C14" i="39" s="1"/>
  <c r="C15" i="39" s="1"/>
  <c r="C16" i="39" s="1"/>
  <c r="D16" i="39" s="1"/>
  <c r="C75" i="81" l="1"/>
  <c r="E22" i="39"/>
  <c r="E38" i="39"/>
  <c r="F22" i="71"/>
  <c r="B5" i="49"/>
  <c r="E30" i="39"/>
  <c r="B5" i="45"/>
  <c r="D7" i="39"/>
  <c r="C8" i="71"/>
  <c r="E8" i="71"/>
  <c r="D6" i="39"/>
  <c r="D8" i="39"/>
  <c r="D15" i="39"/>
  <c r="D13" i="39"/>
  <c r="D11" i="39"/>
  <c r="D9" i="39"/>
  <c r="D14" i="39"/>
  <c r="D12" i="39"/>
  <c r="D10" i="39"/>
  <c r="F38" i="71" l="1"/>
  <c r="F46" i="71" s="1"/>
  <c r="F30" i="71"/>
  <c r="C9" i="71"/>
  <c r="E9" i="71"/>
  <c r="C10" i="71" l="1"/>
  <c r="E10" i="71"/>
  <c r="B8" i="45"/>
  <c r="E23" i="43" l="1"/>
  <c r="E11" i="71"/>
  <c r="C11" i="71"/>
  <c r="C12" i="71" l="1"/>
  <c r="E12" i="71"/>
  <c r="F24" i="71" l="1"/>
  <c r="E32" i="39"/>
  <c r="E13" i="71"/>
  <c r="C13" i="71"/>
  <c r="F32" i="71" l="1"/>
  <c r="F40" i="71"/>
  <c r="F48" i="71" s="1"/>
  <c r="C14" i="71"/>
  <c r="E14" i="71"/>
  <c r="E15" i="71" l="1"/>
  <c r="C15" i="71"/>
  <c r="C16" i="71" l="1"/>
  <c r="D6" i="71" s="1"/>
  <c r="D9" i="71"/>
  <c r="D13" i="71"/>
  <c r="E16" i="71"/>
  <c r="D15" i="71"/>
  <c r="C5" i="43"/>
  <c r="C6" i="43"/>
  <c r="C4" i="43"/>
  <c r="E4" i="43"/>
  <c r="E19" i="43" s="1"/>
  <c r="D16" i="71" l="1"/>
  <c r="D11" i="71"/>
  <c r="D7" i="71"/>
  <c r="D12" i="71"/>
  <c r="D8" i="71"/>
  <c r="D14" i="71"/>
  <c r="D10" i="71"/>
  <c r="F17" i="71" l="1"/>
  <c r="F19" i="71" l="1"/>
  <c r="F20" i="71" s="1"/>
  <c r="F18" i="71"/>
  <c r="B21" i="45"/>
  <c r="B13" i="45"/>
  <c r="B6" i="45"/>
  <c r="E64" i="43"/>
  <c r="E61" i="43"/>
  <c r="E60" i="43"/>
  <c r="E55" i="43"/>
  <c r="E49" i="43"/>
  <c r="E62" i="43" l="1"/>
  <c r="E65" i="43" s="1"/>
  <c r="E21" i="43" l="1"/>
  <c r="E22" i="43" s="1"/>
  <c r="E5" i="43"/>
  <c r="E20" i="43" s="1"/>
  <c r="E66" i="43"/>
  <c r="E67" i="43" s="1"/>
  <c r="B6" i="49"/>
  <c r="E35" i="43" l="1"/>
  <c r="E28" i="43"/>
  <c r="E29" i="43" s="1"/>
  <c r="E42" i="43" s="1"/>
  <c r="F11" i="48"/>
  <c r="G11" i="48"/>
  <c r="H11" i="48"/>
  <c r="I11" i="48"/>
  <c r="D11" i="48"/>
  <c r="F13" i="48"/>
  <c r="G13" i="48"/>
  <c r="H13" i="48"/>
  <c r="I13" i="48"/>
  <c r="D13" i="48"/>
  <c r="E13" i="48"/>
  <c r="E14" i="48"/>
  <c r="F12" i="48"/>
  <c r="G12" i="48"/>
  <c r="H12" i="48"/>
  <c r="I12" i="48"/>
  <c r="D12" i="48"/>
  <c r="E12" i="48"/>
  <c r="H14" i="48" l="1"/>
  <c r="D14" i="48"/>
  <c r="I14" i="48"/>
  <c r="G14" i="48"/>
  <c r="F14" i="48"/>
  <c r="B54" i="41"/>
  <c r="B53" i="41"/>
  <c r="B49" i="41" l="1"/>
  <c r="E50" i="41" s="1"/>
  <c r="B8" i="49"/>
  <c r="B16" i="45"/>
  <c r="B22" i="45" s="1"/>
  <c r="E24" i="39"/>
  <c r="E30" i="43" l="1"/>
  <c r="E37" i="43" s="1"/>
  <c r="E44" i="43" s="1"/>
  <c r="E51" i="43" s="1"/>
  <c r="E56" i="43" s="1"/>
  <c r="E24" i="43"/>
  <c r="E57" i="43" l="1"/>
  <c r="B22" i="18" s="1"/>
  <c r="E68" i="43"/>
  <c r="E69" i="43" s="1"/>
  <c r="B23" i="18" s="1"/>
  <c r="B38" i="41" l="1"/>
  <c r="C9" i="41" l="1"/>
  <c r="C10" i="41"/>
  <c r="C13" i="41"/>
  <c r="C15" i="41"/>
  <c r="C17" i="41"/>
  <c r="C18" i="41"/>
  <c r="C19" i="41"/>
  <c r="C20" i="41"/>
  <c r="C25" i="41"/>
  <c r="C26" i="41"/>
  <c r="C31" i="41"/>
  <c r="C33" i="41"/>
  <c r="C35" i="41"/>
  <c r="C37" i="41"/>
  <c r="B5" i="43"/>
  <c r="D5" i="43"/>
  <c r="D6" i="43"/>
  <c r="D4" i="43"/>
  <c r="B4" i="43"/>
  <c r="E31" i="43" l="1"/>
  <c r="D46" i="41" l="1"/>
  <c r="D54" i="41" s="1"/>
  <c r="D47" i="41"/>
  <c r="D55" i="41" s="1"/>
  <c r="D48" i="41"/>
  <c r="D56" i="41" s="1"/>
  <c r="D45" i="41"/>
  <c r="D53" i="41" s="1"/>
  <c r="C54" i="41"/>
  <c r="C55" i="41" s="1"/>
  <c r="C53" i="41"/>
  <c r="C46" i="41"/>
  <c r="C47" i="41" s="1"/>
  <c r="C45" i="41"/>
  <c r="E45" i="41" s="1"/>
  <c r="B55" i="41"/>
  <c r="D13" i="41"/>
  <c r="E13" i="41" s="1"/>
  <c r="D14" i="41"/>
  <c r="D15" i="41"/>
  <c r="D16" i="41"/>
  <c r="D17" i="41"/>
  <c r="E17" i="41" s="1"/>
  <c r="D18" i="41"/>
  <c r="D19" i="41"/>
  <c r="D20" i="41"/>
  <c r="D21" i="41"/>
  <c r="D22" i="41"/>
  <c r="D23" i="41"/>
  <c r="D24" i="41"/>
  <c r="D25" i="41"/>
  <c r="D26" i="41"/>
  <c r="D27" i="41"/>
  <c r="D28" i="41"/>
  <c r="D29" i="41"/>
  <c r="D30" i="41"/>
  <c r="D31" i="41"/>
  <c r="D32" i="41"/>
  <c r="D33" i="41"/>
  <c r="D34" i="41"/>
  <c r="D35" i="41"/>
  <c r="D36" i="41"/>
  <c r="D37" i="41"/>
  <c r="D5" i="41"/>
  <c r="D6" i="41"/>
  <c r="D7" i="41"/>
  <c r="D8" i="41"/>
  <c r="D9" i="41"/>
  <c r="E9" i="41" s="1"/>
  <c r="D10" i="41"/>
  <c r="D11" i="41"/>
  <c r="D12" i="41"/>
  <c r="D4" i="41"/>
  <c r="E10" i="41"/>
  <c r="B56" i="41"/>
  <c r="E25" i="41"/>
  <c r="E19" i="41"/>
  <c r="E15" i="41"/>
  <c r="B14" i="40"/>
  <c r="B6" i="43" s="1"/>
  <c r="E7" i="43" s="1"/>
  <c r="E13" i="43" l="1"/>
  <c r="E14" i="43" s="1"/>
  <c r="E9" i="43"/>
  <c r="E34" i="43"/>
  <c r="B57" i="41"/>
  <c r="E58" i="41" s="1"/>
  <c r="E31" i="41"/>
  <c r="E55" i="41"/>
  <c r="E37" i="41"/>
  <c r="E35" i="41"/>
  <c r="E33" i="41"/>
  <c r="E18" i="41"/>
  <c r="E20" i="41"/>
  <c r="E26" i="41"/>
  <c r="C48" i="41"/>
  <c r="E47" i="41"/>
  <c r="E46" i="41"/>
  <c r="C56" i="41"/>
  <c r="E53" i="41"/>
  <c r="E17" i="39"/>
  <c r="E36" i="43" l="1"/>
  <c r="E48" i="43" s="1"/>
  <c r="E18" i="39"/>
  <c r="E19" i="39"/>
  <c r="E20" i="39" s="1"/>
  <c r="E56" i="41"/>
  <c r="E48" i="41"/>
  <c r="E54" i="41"/>
  <c r="E16" i="43" l="1"/>
  <c r="E41" i="43"/>
  <c r="E43" i="43" s="1"/>
  <c r="E45" i="43" s="1"/>
  <c r="B20" i="18" s="1"/>
  <c r="E38" i="43"/>
  <c r="B19" i="18" s="1"/>
  <c r="E50" i="43"/>
  <c r="E52" i="43" s="1"/>
  <c r="B21" i="18" s="1"/>
  <c r="E21" i="39"/>
  <c r="B69" i="38"/>
  <c r="B61" i="38"/>
  <c r="B18" i="18" l="1"/>
  <c r="F21" i="71"/>
  <c r="E60" i="41"/>
  <c r="E62" i="41" s="1"/>
  <c r="B14" i="45"/>
  <c r="B15" i="45" s="1"/>
  <c r="B17" i="45" s="1"/>
  <c r="B27" i="45" s="1"/>
  <c r="B7" i="18" l="1"/>
  <c r="B23" i="45"/>
  <c r="B28" i="45" l="1"/>
  <c r="B29" i="45" s="1"/>
  <c r="B26" i="18" s="1"/>
  <c r="E23" i="39" l="1"/>
  <c r="B7" i="49"/>
  <c r="B9" i="49" s="1"/>
  <c r="B17" i="18" s="1"/>
  <c r="B7" i="45"/>
  <c r="B9" i="45" s="1"/>
  <c r="B25" i="18" s="1"/>
  <c r="B24" i="18" s="1"/>
  <c r="F45" i="71" l="1"/>
  <c r="F37" i="71"/>
  <c r="F39" i="71" s="1"/>
  <c r="F29" i="71"/>
  <c r="F31" i="71" s="1"/>
  <c r="E29" i="39"/>
  <c r="F23" i="71"/>
  <c r="E25" i="39"/>
  <c r="F25" i="71" l="1"/>
  <c r="B13" i="18" s="1"/>
  <c r="E37" i="39"/>
  <c r="E39" i="39" s="1"/>
  <c r="E41" i="39" s="1"/>
  <c r="B12" i="18" s="1"/>
  <c r="F33" i="71"/>
  <c r="B14" i="18" s="1"/>
  <c r="E31" i="39"/>
  <c r="E33" i="39" s="1"/>
  <c r="B10" i="18"/>
  <c r="F47" i="71" l="1"/>
  <c r="F49" i="71" s="1"/>
  <c r="B16" i="18" s="1"/>
  <c r="B11" i="18"/>
  <c r="C11" i="41" l="1"/>
  <c r="E11" i="41" s="1"/>
  <c r="C7" i="41"/>
  <c r="E7" i="41" s="1"/>
  <c r="C23" i="41"/>
  <c r="E23" i="41" s="1"/>
  <c r="C32" i="41"/>
  <c r="E32" i="41" s="1"/>
  <c r="C36" i="41"/>
  <c r="E36" i="41" s="1"/>
  <c r="C29" i="41"/>
  <c r="E29" i="41" s="1"/>
  <c r="C27" i="41"/>
  <c r="E27" i="41" s="1"/>
  <c r="C21" i="41"/>
  <c r="E21" i="41" s="1"/>
  <c r="C14" i="41"/>
  <c r="E14" i="41" s="1"/>
  <c r="C8" i="41"/>
  <c r="E8" i="41" s="1"/>
  <c r="C22" i="41"/>
  <c r="E22" i="41" s="1"/>
  <c r="C28" i="41"/>
  <c r="E28" i="41" s="1"/>
  <c r="C6" i="41"/>
  <c r="E6" i="41" s="1"/>
  <c r="C12" i="41"/>
  <c r="E12" i="41" s="1"/>
  <c r="C16" i="41"/>
  <c r="E16" i="41" s="1"/>
  <c r="C24" i="41"/>
  <c r="E24" i="41" s="1"/>
  <c r="C30" i="41"/>
  <c r="E30" i="41" s="1"/>
  <c r="C34" i="41"/>
  <c r="E34" i="41" s="1"/>
  <c r="C5" i="41"/>
  <c r="E5" i="41" l="1"/>
  <c r="F41" i="71" l="1"/>
  <c r="B15" i="18" s="1"/>
  <c r="B9" i="18" s="1"/>
  <c r="B8" i="18" s="1"/>
  <c r="C4" i="41" l="1"/>
  <c r="E4" i="41" l="1"/>
  <c r="E38" i="41" s="1"/>
  <c r="E40" i="41" s="1"/>
  <c r="E42" i="41" s="1"/>
  <c r="B5" i="18" l="1"/>
  <c r="B6" i="18"/>
  <c r="B4" i="18" l="1"/>
  <c r="B27" i="18" s="1"/>
  <c r="B29" i="18" l="1"/>
  <c r="B30" i="18" s="1"/>
  <c r="B33" i="18" l="1"/>
  <c r="C29" i="18" s="1"/>
  <c r="B35" i="18" l="1"/>
  <c r="C25" i="18"/>
  <c r="C21" i="18"/>
  <c r="C23" i="18"/>
  <c r="C12" i="18"/>
  <c r="C14" i="18"/>
  <c r="C16" i="18"/>
  <c r="C6" i="18"/>
  <c r="C5" i="18"/>
  <c r="C26" i="18"/>
  <c r="C17" i="18"/>
  <c r="C20" i="18"/>
  <c r="C22" i="18"/>
  <c r="C19" i="18"/>
  <c r="C11" i="18"/>
  <c r="C13" i="18"/>
  <c r="C15" i="18"/>
  <c r="C10" i="18"/>
  <c r="C7" i="18"/>
  <c r="C27" i="18"/>
  <c r="C30" i="18" s="1"/>
  <c r="C33" i="18" s="1"/>
  <c r="C9" i="18" l="1"/>
  <c r="C18" i="18"/>
  <c r="C24" i="18"/>
  <c r="C8" i="18" s="1"/>
  <c r="C4" i="18"/>
  <c r="D9" i="86" l="1"/>
  <c r="D13" i="85"/>
  <c r="D34" i="85" l="1"/>
  <c r="D6" i="85" s="1"/>
  <c r="D28" i="85"/>
  <c r="D5" i="85" s="1"/>
  <c r="D22" i="85"/>
  <c r="D4" i="85" s="1"/>
  <c r="D18" i="86"/>
  <c r="D33" i="86"/>
  <c r="D28" i="86"/>
  <c r="D23" i="86"/>
</calcChain>
</file>

<file path=xl/sharedStrings.xml><?xml version="1.0" encoding="utf-8"?>
<sst xmlns="http://schemas.openxmlformats.org/spreadsheetml/2006/main" count="1156" uniqueCount="553">
  <si>
    <t>CUSTOS VARIÁVEIS</t>
  </si>
  <si>
    <t>Recapagem</t>
  </si>
  <si>
    <t>CUSTOS FIXOS</t>
  </si>
  <si>
    <t>Total</t>
  </si>
  <si>
    <t>Salário</t>
  </si>
  <si>
    <t>INSS</t>
  </si>
  <si>
    <t>Combustível</t>
  </si>
  <si>
    <t>Rodagem</t>
  </si>
  <si>
    <t>PMM Total</t>
  </si>
  <si>
    <t>%</t>
  </si>
  <si>
    <t>Seguro DPVAT</t>
  </si>
  <si>
    <t>ITENS DE CUSTO</t>
  </si>
  <si>
    <t>R$/km</t>
  </si>
  <si>
    <t>Despesas com peças e acessórios</t>
  </si>
  <si>
    <t>CUSTOS VARIÁVEIS + CUSTOS FIXOS</t>
  </si>
  <si>
    <t>Item</t>
  </si>
  <si>
    <t>Valores</t>
  </si>
  <si>
    <t>Unidade</t>
  </si>
  <si>
    <t>Referência</t>
  </si>
  <si>
    <t>l/km</t>
  </si>
  <si>
    <t>Leve Dianteiro</t>
  </si>
  <si>
    <t>Leve Dianteiro Ar</t>
  </si>
  <si>
    <t>Leve Dianteiro Ar Cx</t>
  </si>
  <si>
    <t>Leve Traseiro</t>
  </si>
  <si>
    <t>Leve Traseiro Ar Cx</t>
  </si>
  <si>
    <t>Leve Traseiro Ar</t>
  </si>
  <si>
    <t>Leve Traseiro Cx</t>
  </si>
  <si>
    <t>Pesado Dianteiro</t>
  </si>
  <si>
    <t>Pesado Dianteiro Ar</t>
  </si>
  <si>
    <t>Pesado Dianteiro Cx</t>
  </si>
  <si>
    <t>Pesado Dianteiro Ar Cx</t>
  </si>
  <si>
    <t>Pesado Traseiro</t>
  </si>
  <si>
    <t>Pesado Traseiro Ar</t>
  </si>
  <si>
    <t>Pesado Traseiro Cx</t>
  </si>
  <si>
    <t>Pesado Traseiro Ar Cx</t>
  </si>
  <si>
    <t>Pesado Central</t>
  </si>
  <si>
    <t>Pesado Central Ar Cx</t>
  </si>
  <si>
    <t>Pesado Central Ar</t>
  </si>
  <si>
    <t>Pesado Central Cx</t>
  </si>
  <si>
    <t>Trucado Dianteiro</t>
  </si>
  <si>
    <t>Especial Dianteiro</t>
  </si>
  <si>
    <t>Especial Central</t>
  </si>
  <si>
    <t>Especial Central Cx</t>
  </si>
  <si>
    <t>Especial Central Ar Cx</t>
  </si>
  <si>
    <t>Especial Central Ar</t>
  </si>
  <si>
    <t>Especial Traseiro Cx</t>
  </si>
  <si>
    <t>Especial Traseiro Ar Cx</t>
  </si>
  <si>
    <t>Especial Traseiro Ar</t>
  </si>
  <si>
    <t>km Min Pneu Novo</t>
  </si>
  <si>
    <t>km</t>
  </si>
  <si>
    <t>km Min 2 Recap</t>
  </si>
  <si>
    <t>un</t>
  </si>
  <si>
    <t>vezes</t>
  </si>
  <si>
    <t>anos</t>
  </si>
  <si>
    <t>Valor Residual do Veiculo</t>
  </si>
  <si>
    <t>Peças&amp;Acessórios</t>
  </si>
  <si>
    <t>Encargos Sociais</t>
  </si>
  <si>
    <t>FU Motorista</t>
  </si>
  <si>
    <t>FU Cobrador</t>
  </si>
  <si>
    <t>FU Fiscal</t>
  </si>
  <si>
    <t>FU Manutenção</t>
  </si>
  <si>
    <t>FU Administração</t>
  </si>
  <si>
    <t>Frota Operacional</t>
  </si>
  <si>
    <t>Veic.</t>
  </si>
  <si>
    <t>Frota Reserva</t>
  </si>
  <si>
    <t>Frota Total</t>
  </si>
  <si>
    <t>IPK Equivalente</t>
  </si>
  <si>
    <t>PE/km</t>
  </si>
  <si>
    <t>km/veíc.</t>
  </si>
  <si>
    <t>Micro Dianteiro</t>
  </si>
  <si>
    <t>Leve Dianteiro Cx</t>
  </si>
  <si>
    <t>Especial Traseiro</t>
  </si>
  <si>
    <t>% Empresa Vale Refeição</t>
  </si>
  <si>
    <t>% Benef. Fisc. Vale Refeição</t>
  </si>
  <si>
    <t>Coef. Mês Outras Despesas</t>
  </si>
  <si>
    <t>Coef Idade</t>
  </si>
  <si>
    <t>00 a 01</t>
  </si>
  <si>
    <t>01 a 02</t>
  </si>
  <si>
    <t>02 a 03</t>
  </si>
  <si>
    <t>03 a 04</t>
  </si>
  <si>
    <t>04 a 05</t>
  </si>
  <si>
    <t>05 a 06</t>
  </si>
  <si>
    <t>06 a 07</t>
  </si>
  <si>
    <t>07 a 08</t>
  </si>
  <si>
    <t>08 a 09</t>
  </si>
  <si>
    <t>09 a 10</t>
  </si>
  <si>
    <t>10  +</t>
  </si>
  <si>
    <t>Fator depr.</t>
  </si>
  <si>
    <t>Coeficiente de depreciação Cole</t>
  </si>
  <si>
    <t>Coeficiente mensal de depreciação final</t>
  </si>
  <si>
    <t>PLANILHA 01 - PREÇOS DOS INSUMOS</t>
  </si>
  <si>
    <t>Custo R$</t>
  </si>
  <si>
    <t>Observação</t>
  </si>
  <si>
    <t>Óleo Diesel</t>
  </si>
  <si>
    <t>I</t>
  </si>
  <si>
    <t>Diesel S10</t>
  </si>
  <si>
    <t>R$</t>
  </si>
  <si>
    <t>mensal</t>
  </si>
  <si>
    <t>Vale Refeição</t>
  </si>
  <si>
    <t>por dia trabalho</t>
  </si>
  <si>
    <t>Seguro Passageiro</t>
  </si>
  <si>
    <t>Categoria</t>
  </si>
  <si>
    <t>Coeficiente</t>
  </si>
  <si>
    <t>Preço combustível</t>
  </si>
  <si>
    <t>Total R$</t>
  </si>
  <si>
    <t>Preço Pneu</t>
  </si>
  <si>
    <t>Qtd Pneu</t>
  </si>
  <si>
    <t>Preço Por Veic R$</t>
  </si>
  <si>
    <t>Custo Total Ponderado</t>
  </si>
  <si>
    <t>Preço Recap R$</t>
  </si>
  <si>
    <t>Preço médio da frota sem pneus</t>
  </si>
  <si>
    <t>Preço médio da frota</t>
  </si>
  <si>
    <t>Preço ponderado dos pneus</t>
  </si>
  <si>
    <t>Coef Mês Peç/Aces</t>
  </si>
  <si>
    <t>Enc Social</t>
  </si>
  <si>
    <t>Motorista</t>
  </si>
  <si>
    <t>Cobrador</t>
  </si>
  <si>
    <t>Fiscal</t>
  </si>
  <si>
    <t/>
  </si>
  <si>
    <t>Nro Salario Motorista</t>
  </si>
  <si>
    <t>R$/veíc.</t>
  </si>
  <si>
    <t>Especial Dianteiro Ar Cx</t>
  </si>
  <si>
    <t>Especial Dianteiro Ar</t>
  </si>
  <si>
    <t>Especial Dianteiro Cx</t>
  </si>
  <si>
    <t>Depreciação mês</t>
  </si>
  <si>
    <t xml:space="preserve">    ALÍQUOTA LEI FEDERAL 12.715/12</t>
  </si>
  <si>
    <t xml:space="preserve">    IPK (Pass_Equiv/km)</t>
  </si>
  <si>
    <t xml:space="preserve">   Seguros (Passageiro e DPVAT)</t>
  </si>
  <si>
    <t xml:space="preserve">   Operacional</t>
  </si>
  <si>
    <t xml:space="preserve">   Manutenção</t>
  </si>
  <si>
    <t xml:space="preserve">   Administrativo</t>
  </si>
  <si>
    <t xml:space="preserve">   Plano de Saúde dos Rodoviários</t>
  </si>
  <si>
    <t xml:space="preserve">   Honorários da administração</t>
  </si>
  <si>
    <t xml:space="preserve">   Depreciação da frota</t>
  </si>
  <si>
    <t xml:space="preserve">   Combustível</t>
  </si>
  <si>
    <t xml:space="preserve">   Rodagem</t>
  </si>
  <si>
    <t xml:space="preserve">   Óleos&amp;Lubrificantes</t>
  </si>
  <si>
    <t>Sistema</t>
  </si>
  <si>
    <t>Custo km Óleo/Lubrificantes R$/km</t>
  </si>
  <si>
    <t>Custo km Combustível R$/km</t>
  </si>
  <si>
    <t>Frota total</t>
  </si>
  <si>
    <t>Preço Médio Veículo</t>
  </si>
  <si>
    <t>Ar Condicionado Veíc.Leve/Pesado</t>
  </si>
  <si>
    <t>Ar Condicionado Veíc.Especial</t>
  </si>
  <si>
    <t>Dados operacionais</t>
  </si>
  <si>
    <t>Unid.</t>
  </si>
  <si>
    <t>PMM Operacional</t>
  </si>
  <si>
    <t>Desp Mês Peç/Aces</t>
  </si>
  <si>
    <t>Custo km peças&amp;acessórios</t>
  </si>
  <si>
    <t>Despesa Total (R$)</t>
  </si>
  <si>
    <t>PMM Operacional (km/veíc.)</t>
  </si>
  <si>
    <t>Custo km pessoal de operação (R$ / km)</t>
  </si>
  <si>
    <t>Custo km pessoal de manutenção (R$ / km)</t>
  </si>
  <si>
    <t>Manutenção (Despesa total pessoal operacional)</t>
  </si>
  <si>
    <t>Custo km alim.pessoal de operação (R$ / km)</t>
  </si>
  <si>
    <t>Alimentação Pessoal Operacional</t>
  </si>
  <si>
    <t>Salários pessoal de operação</t>
  </si>
  <si>
    <t>Custo km pessoal de administração (R$ / km)</t>
  </si>
  <si>
    <t>Custo km Plano de Saúde Rodoviários (R$ / km)</t>
  </si>
  <si>
    <t>Salário Motorista (R$)</t>
  </si>
  <si>
    <t>Salário Diretor (R$)</t>
  </si>
  <si>
    <t>INSS (%)</t>
  </si>
  <si>
    <t>Custo km Honorários da Administração (R$ / km)</t>
  </si>
  <si>
    <t>Resumo Despesa Total Pessoal de Operação</t>
  </si>
  <si>
    <t>Resumo Despesa Total Pessoal de Manutenção</t>
  </si>
  <si>
    <t>Valor do Plano de Saúde por veículo (R$/veíc.)</t>
  </si>
  <si>
    <t>Frota Operacional (veíc.)</t>
  </si>
  <si>
    <t>Despesa Total / Veic (R$ / veíc.)</t>
  </si>
  <si>
    <t>Salários pessoal de manutenção (R$)</t>
  </si>
  <si>
    <t>Alimentação Pessoal de Manutenção (R$)</t>
  </si>
  <si>
    <t>Despesas com Pessoal de Operação (R$/veíc.)</t>
  </si>
  <si>
    <t>Despesa Total (R$ / veíc.)</t>
  </si>
  <si>
    <t>Coef Outras Despesas</t>
  </si>
  <si>
    <t>Custo km Outras Despesas (R$ / km)</t>
  </si>
  <si>
    <t>Coef Mês Seguro DPVAT</t>
  </si>
  <si>
    <t>Despesa Mês DPVAT</t>
  </si>
  <si>
    <t>PMM Total (km/veíc.)</t>
  </si>
  <si>
    <t>Seguro Passageiro (R$/veic.)</t>
  </si>
  <si>
    <t>Custo km DPVAT (R$ / km)</t>
  </si>
  <si>
    <t>Custo km Seguro Pass. (R$ / km)</t>
  </si>
  <si>
    <t>Resumo Despesas com Seguros (DPVAT + Pass.)</t>
  </si>
  <si>
    <t>Custo km Total (R$ / km)</t>
  </si>
  <si>
    <t>Custo km depreciação da frota</t>
  </si>
  <si>
    <t>Bacia</t>
  </si>
  <si>
    <t>Sul</t>
  </si>
  <si>
    <t>Leste</t>
  </si>
  <si>
    <t>Norte</t>
  </si>
  <si>
    <t>func/veíc.</t>
  </si>
  <si>
    <t>Percurso Médio Mensal Frota Operacional - PMM Operacional</t>
  </si>
  <si>
    <t>Percurso Médio Mensal Frota Total - PMM Total</t>
  </si>
  <si>
    <t>Despesa com Pessoal de Administração</t>
  </si>
  <si>
    <t>Despesa com Plano de Saúde dos Rodoviários</t>
  </si>
  <si>
    <t>Despesa com Honorários da Administração</t>
  </si>
  <si>
    <t>Despesa com DPVAT</t>
  </si>
  <si>
    <t>Despesa com Seguro Passageiro</t>
  </si>
  <si>
    <t>R$/veic</t>
  </si>
  <si>
    <t>Pessoal Operacional, de Manutenção e Administrativo</t>
  </si>
  <si>
    <t>Passageiros Equivalentes Mês</t>
  </si>
  <si>
    <t>Quilometragem Percorrida Mês</t>
  </si>
  <si>
    <t>PE</t>
  </si>
  <si>
    <t>Idade Média da Frota</t>
  </si>
  <si>
    <t>Faixa ano</t>
  </si>
  <si>
    <t>Preço do Veículo Médio da Frota</t>
  </si>
  <si>
    <t>Outras Despesas</t>
  </si>
  <si>
    <t>CUSTO QUILÔMETRO TOTAL (R$/km)</t>
  </si>
  <si>
    <t>CUSTO KM (R$/km)</t>
  </si>
  <si>
    <t xml:space="preserve"> Despesas de capital</t>
  </si>
  <si>
    <t xml:space="preserve"> Despesas com peças e acessórios</t>
  </si>
  <si>
    <t xml:space="preserve"> Despesas com pessoal</t>
  </si>
  <si>
    <t xml:space="preserve"> Despesas administrativas</t>
  </si>
  <si>
    <t>Quinquênio</t>
  </si>
  <si>
    <t>Fator de Correção Quinquênio</t>
  </si>
  <si>
    <t>Qtd Mês Vale Refeicão</t>
  </si>
  <si>
    <t>Coef. Mês DPVAT</t>
  </si>
  <si>
    <t>PLANILHA 02 - COEFICIENTES E ÍNDICES DE USO</t>
  </si>
  <si>
    <t>Óleos&amp;Lubrificantes</t>
  </si>
  <si>
    <t xml:space="preserve">   Remuneração da frota</t>
  </si>
  <si>
    <t xml:space="preserve">   Remuneração de almoxarifado</t>
  </si>
  <si>
    <t>Preço médio do veículo - PMV</t>
  </si>
  <si>
    <t>Determinação do custo de depreciação da frota</t>
  </si>
  <si>
    <t>Vida útil</t>
  </si>
  <si>
    <t>Fator remun.</t>
  </si>
  <si>
    <t>Custo km remuneração da frota</t>
  </si>
  <si>
    <t>Coeficiente de remuneração Cole</t>
  </si>
  <si>
    <t>Coeficiente mensal de remuneração final</t>
  </si>
  <si>
    <t>Remuneração mês</t>
  </si>
  <si>
    <t>Nº de Diretores por empresa</t>
  </si>
  <si>
    <t>Coeficiente de depreciação dos veículos de apoio</t>
  </si>
  <si>
    <t xml:space="preserve">   Depreciação de edificações, equipamentos e mobiliário de garagem</t>
  </si>
  <si>
    <t xml:space="preserve">   Depreciação dos veículos de apoio</t>
  </si>
  <si>
    <t>Custo km depreciação dos veículos de apoio</t>
  </si>
  <si>
    <t>Custo km remuneração de edificações, equip.&amp;mob.gar.</t>
  </si>
  <si>
    <t>Coeficiente de remuneração dos veículos de apoio</t>
  </si>
  <si>
    <t>Custo km remuneração dos veículos de apoio</t>
  </si>
  <si>
    <t>Determinação do custo de remuneração do capital imobilizado em frota</t>
  </si>
  <si>
    <t>Coeficiente de remuneração de almoxarifado</t>
  </si>
  <si>
    <t>Custo km remuneração de almoxarifado</t>
  </si>
  <si>
    <t xml:space="preserve">   Remuneração dos veículos de apoio</t>
  </si>
  <si>
    <t>PART.</t>
  </si>
  <si>
    <t xml:space="preserve">   Remuneração de terrenos, edificações, equipamentos e mobiliário de garagem</t>
  </si>
  <si>
    <t>Vida útil acum.</t>
  </si>
  <si>
    <t>Coef. Mês Peças e Acessórios</t>
  </si>
  <si>
    <t>Coef. Mês Remuneração dos Veículos de Apoio</t>
  </si>
  <si>
    <t>Coef. Mês Remuneração de Almoxarifado</t>
  </si>
  <si>
    <t>Coef. Mês Depreciação dos Veículos de Apoio</t>
  </si>
  <si>
    <t>Coef. Mês Depreciação de Edificações, Equipamentos e Mobiliário de Garagem</t>
  </si>
  <si>
    <t>Qtd. Pneus Veículo Tipo Pesado</t>
  </si>
  <si>
    <t>Qtd. Pneus Veículo Tipo Trucado</t>
  </si>
  <si>
    <t>Qtd. Pneus Veículo Tipo Especial</t>
  </si>
  <si>
    <t>Nº Recapagens / Pneu</t>
  </si>
  <si>
    <t>Vida Util Veiculo</t>
  </si>
  <si>
    <t>Coef. Mês Oleos/Lubrificantes</t>
  </si>
  <si>
    <t>Nº Sal. Motorista / Honorários da Administração</t>
  </si>
  <si>
    <t>Recapagem Veíc.Tipo Leve</t>
  </si>
  <si>
    <t>Recapagem Veíc.Tipo Pesado/Especial</t>
  </si>
  <si>
    <t>Pneu Veíc.Tipo Pesado/Especial</t>
  </si>
  <si>
    <t>Pneu Veíc. Tipo Leve</t>
  </si>
  <si>
    <t>Salário Motorista</t>
  </si>
  <si>
    <t>Salário Cobrador</t>
  </si>
  <si>
    <t>Salário Fiscal</t>
  </si>
  <si>
    <t>Plano de Saúde Rodoviários</t>
  </si>
  <si>
    <t>275/80 R22</t>
  </si>
  <si>
    <t>295/80 R22.5</t>
  </si>
  <si>
    <t>Coeficiente de remuneração de edificações,equipamentos e mobiliário de garagem</t>
  </si>
  <si>
    <t>Custo Rodagem R$/km</t>
  </si>
  <si>
    <t>Custo Total Ponderado (Pneus + Recapagens)</t>
  </si>
  <si>
    <t>Pneus</t>
  </si>
  <si>
    <t>Veículo Micro / Leve</t>
  </si>
  <si>
    <t>Veículo Pesado</t>
  </si>
  <si>
    <t>Veículo Trucado</t>
  </si>
  <si>
    <t>Veículo Especial</t>
  </si>
  <si>
    <t>Fator de Utilização Pessoal de Manutenção</t>
  </si>
  <si>
    <t>Coeficiente de depreciação de edificações,equipamentos e mobiliário de garagem</t>
  </si>
  <si>
    <t>Despesas Pessoal de Operação</t>
  </si>
  <si>
    <t>Despesas Pessoal de Manutenção</t>
  </si>
  <si>
    <t>Despesas de alimentação pessoal de operação</t>
  </si>
  <si>
    <t>Despesas de alimentação pessoal de manutenção</t>
  </si>
  <si>
    <t>Depreciação de edificações, equipamentos e mobiliário de garagem</t>
  </si>
  <si>
    <t>Depreciação dos veículos de apoio</t>
  </si>
  <si>
    <t>Custo km depreciação de edificações, equipamentos e mobiliário de garagem</t>
  </si>
  <si>
    <t>Remuneração de terrenos, edificações, equipamentos e mobiliário de garagem</t>
  </si>
  <si>
    <t>Remuneração de almoxarifado</t>
  </si>
  <si>
    <t>Remuneração dos veículos de apoio</t>
  </si>
  <si>
    <t>PLANILHA 09 - DESPESAS COM PESSOAL</t>
  </si>
  <si>
    <t>PLANILHA 10 - DESPESAS ADMINISTRATIVAS</t>
  </si>
  <si>
    <t>Especial</t>
  </si>
  <si>
    <t>Pesado</t>
  </si>
  <si>
    <t>Qtd. Pneus Veículo Tipo Leve</t>
  </si>
  <si>
    <t>Coef. Mês Remuneração de Terrenos, Edificações, Equipamentos e Mobiliário de Garagem</t>
  </si>
  <si>
    <t>Pneu x Rec</t>
  </si>
  <si>
    <t>CUSTO DE REMUNERAÇÃO DO SERVIÇO</t>
  </si>
  <si>
    <t>Custo Fixo de Remuneração do Serviço</t>
  </si>
  <si>
    <t>Despesas de pessoal</t>
  </si>
  <si>
    <t>Despesas administrativas</t>
  </si>
  <si>
    <t>Lei Municipal 8.133/98</t>
  </si>
  <si>
    <t>Despesas Administrativas e de Pessoal</t>
  </si>
  <si>
    <t>Taxa Federal</t>
  </si>
  <si>
    <t>Taxa Federal + CCT</t>
  </si>
  <si>
    <t>Média Anual INPC últ.20 anos (1995-2014)</t>
  </si>
  <si>
    <t xml:space="preserve">  REMUNERAÇÃO DO SERVIÇO - RS</t>
  </si>
  <si>
    <t xml:space="preserve">    CUSTO DE GESTÃO DA CCT</t>
  </si>
  <si>
    <t xml:space="preserve">   Outras Despesas</t>
  </si>
  <si>
    <t>INDICAÇÃO DA LICITANTE PELO LOTE E ORIENTAÇÕES INICIAIS</t>
  </si>
  <si>
    <t>A Licitante declara que está realizando proposta para o LOTE</t>
  </si>
  <si>
    <t>Se a Licitante desejar realizar propostas para mais de um LOTE deverá copiar este arquivo e entregar uma PROPOSTA</t>
  </si>
  <si>
    <t>por LOTE desejado.</t>
  </si>
  <si>
    <t>A Licitante deverá preencher as planilhas a seguir, observando que algumas células não são editáveis, e seguindo as</t>
  </si>
  <si>
    <t>orientações apresentadas no Anexo VI - B.</t>
  </si>
  <si>
    <t xml:space="preserve">Se a Licitante constatar algum equívoco do PODER CONCEDENTE na apresentação das planilhas, deverá solicitar que </t>
  </si>
  <si>
    <t>o PODER CONCEDENTE corrija o problema e reenvie a planilha, caso este concorde com a motivação.</t>
  </si>
  <si>
    <t>Sob hipótese alguma a Licitante deverá corrigir/alterar/modificar as células não editáveis.</t>
  </si>
  <si>
    <t>Os erros cometidos no preenchimento das planilhas são de responsabilidade da Licitante.</t>
  </si>
  <si>
    <t>A Licitante poderá criar planilhas auxiliares neste mesmo arquivo ou em outro, com extensão .xlsx.</t>
  </si>
  <si>
    <t xml:space="preserve">  (Preencher com 1, 2, 3, 4, 5 ou 6)</t>
  </si>
  <si>
    <t>Mínimo</t>
  </si>
  <si>
    <t>Máximo</t>
  </si>
  <si>
    <t>Custo de Gestão da CCT</t>
  </si>
  <si>
    <t>Valor adotado</t>
  </si>
  <si>
    <t>FU adotado</t>
  </si>
  <si>
    <t>Nº de empresas por lote</t>
  </si>
  <si>
    <t>Taxa Variável de Remuneração de Capital</t>
  </si>
  <si>
    <t>ANO 00</t>
  </si>
  <si>
    <t>Modelos</t>
  </si>
  <si>
    <t>Frota</t>
  </si>
  <si>
    <t>Ar Condicionado</t>
  </si>
  <si>
    <t>Preço Chassi R$</t>
  </si>
  <si>
    <t>Preço Carroceria R$</t>
  </si>
  <si>
    <t>Preço ar R$</t>
  </si>
  <si>
    <t>Leve</t>
  </si>
  <si>
    <t>Trucado</t>
  </si>
  <si>
    <t>Distribuição da Frota por Faixa Etária</t>
  </si>
  <si>
    <t>Faixa</t>
  </si>
  <si>
    <t>Idade Média</t>
  </si>
  <si>
    <t>Preço Médio</t>
  </si>
  <si>
    <t>Proporção de Veículos Com Ar Condicionado</t>
  </si>
  <si>
    <t>Veículo Tipo</t>
  </si>
  <si>
    <t>Com Ar Condcionado</t>
  </si>
  <si>
    <t>Sem Ar Condicionado</t>
  </si>
  <si>
    <t>Proporção Com Ar Condicionado %</t>
  </si>
  <si>
    <t>Total de Veículos</t>
  </si>
  <si>
    <t>Quantidade</t>
  </si>
  <si>
    <t>PLANILHA 06 - DESPESAS COM PEÇAS E ACESSÓRIOS</t>
  </si>
  <si>
    <t>PLANILHA 05 - DETERMINAÇÃO DOS CUSTOS VARIÁVEIS</t>
  </si>
  <si>
    <t>PLANILHA 03 - DADOS OPERACIONAIS</t>
  </si>
  <si>
    <t>Total Lote</t>
  </si>
  <si>
    <t>PLANILHA 07 - CÁLCULO DO CUSTO DE DEPRECIAÇÃO DE CAPITAL</t>
  </si>
  <si>
    <t>PLANILHA 08 - CÁLCULO DO CUSTO DE REMUNERAÇÃO DE CAPITAL</t>
  </si>
  <si>
    <t>Preço Médio do Veículo - PMV (R$/veíc.)</t>
  </si>
  <si>
    <t>Nº Diretores Remunerados no Lote</t>
  </si>
  <si>
    <t>Nº Máximo de Diretores Admitidos por Lote</t>
  </si>
  <si>
    <t>LO 915</t>
  </si>
  <si>
    <t>OH1518</t>
  </si>
  <si>
    <t>MT 12.0 LE</t>
  </si>
  <si>
    <t>NÃO</t>
  </si>
  <si>
    <t>SIM</t>
  </si>
  <si>
    <t>B290R</t>
  </si>
  <si>
    <t>B7R Low-Entry</t>
  </si>
  <si>
    <t>F 250</t>
  </si>
  <si>
    <t>O-500 U Low-Entry</t>
  </si>
  <si>
    <t>O500M</t>
  </si>
  <si>
    <t>O500M Aut.</t>
  </si>
  <si>
    <t>O500U Aut.</t>
  </si>
  <si>
    <t>OF 1721</t>
  </si>
  <si>
    <t>OF 1724</t>
  </si>
  <si>
    <t>OH 1622</t>
  </si>
  <si>
    <t>VW 17230</t>
  </si>
  <si>
    <t>VW 17260 Aut.</t>
  </si>
  <si>
    <t>VW 17260 Low-Entry</t>
  </si>
  <si>
    <t>B340MA</t>
  </si>
  <si>
    <t>O-500 MA</t>
  </si>
  <si>
    <t>OF 1721 (A)</t>
  </si>
  <si>
    <t>VW 17230 (A)</t>
  </si>
  <si>
    <t>O-500 UA</t>
  </si>
  <si>
    <t>SCANIA K 310</t>
  </si>
  <si>
    <t>Preço Médio do Veículo - PMV</t>
  </si>
  <si>
    <t>CUSTOS VARIÁVEIS + CUSTOS FIXOS + CUSTO REMUNERAÇÃO DO SERVIÇO</t>
  </si>
  <si>
    <t>Custo de capital (depreciação e remuneração)</t>
  </si>
  <si>
    <t>Alíquota Lei Federal 12.715/12 (Deson.Folha Pgto)</t>
  </si>
  <si>
    <t>INPC (jan-dez 2014)</t>
  </si>
  <si>
    <t>Preço Veíc. R$</t>
  </si>
  <si>
    <t>Vlr Invest. R$</t>
  </si>
  <si>
    <t>PMV Veículo Leve</t>
  </si>
  <si>
    <t>PMV Veículo Pesado</t>
  </si>
  <si>
    <t>PMV Veículo Trucado</t>
  </si>
  <si>
    <t>PMV Veículo Especial</t>
  </si>
  <si>
    <t>PLANILHA 4 - COMPOSIÇÃO DA FROTA NO INÍCIO DA CONCESSÃO</t>
  </si>
  <si>
    <t>Carris</t>
  </si>
  <si>
    <t>N1</t>
  </si>
  <si>
    <t>N2</t>
  </si>
  <si>
    <t>S1</t>
  </si>
  <si>
    <t>S2</t>
  </si>
  <si>
    <t>L1</t>
  </si>
  <si>
    <t>L2</t>
  </si>
  <si>
    <t>Participação PE</t>
  </si>
  <si>
    <t>Passageiros Equivalentes - PE</t>
  </si>
  <si>
    <t>Participação km</t>
  </si>
  <si>
    <t>Base: ano 2013 com as linhas distribuídas por Lote no Edital</t>
  </si>
  <si>
    <t>Passageiros considerando jan-fev/2013 e mar-dez/2014</t>
  </si>
  <si>
    <t>Bacia Norte</t>
  </si>
  <si>
    <t>Bacia Sul</t>
  </si>
  <si>
    <t>Bacia Leste</t>
  </si>
  <si>
    <t>Rodagem considerando jan-fev/2013 e mar-dez/2014</t>
  </si>
  <si>
    <t>Pública</t>
  </si>
  <si>
    <t>PLANILHA AUX.4.2 - BASE AUXILIAR PLANO DE FROTA ANO 00</t>
  </si>
  <si>
    <t>CONSÓRCIO</t>
  </si>
  <si>
    <t>AR COND.</t>
  </si>
  <si>
    <t>Total Geral</t>
  </si>
  <si>
    <t>CARRIS</t>
  </si>
  <si>
    <t xml:space="preserve">B340MA </t>
  </si>
  <si>
    <t>OF 1721 Truck</t>
  </si>
  <si>
    <t>NÃO Total</t>
  </si>
  <si>
    <t>SIM Total</t>
  </si>
  <si>
    <t>CARRIS Total</t>
  </si>
  <si>
    <t>OH 1518</t>
  </si>
  <si>
    <t xml:space="preserve">B340M </t>
  </si>
  <si>
    <t>PLANILHA AUX.4.1 - BASE AUXILIAR PLANO DE FROTA ANO 00</t>
  </si>
  <si>
    <t>BACIA NORTE</t>
  </si>
  <si>
    <t>BACIA NORTE Total</t>
  </si>
  <si>
    <t>BACIA SUL</t>
  </si>
  <si>
    <t>BACIA SUL Total</t>
  </si>
  <si>
    <t>BACIA LESTE</t>
  </si>
  <si>
    <t>BACIA LESTE Total</t>
  </si>
  <si>
    <t>MODELO VEÍCULO</t>
  </si>
  <si>
    <t>AR</t>
  </si>
  <si>
    <t>MODELO</t>
  </si>
  <si>
    <t>N1 Total</t>
  </si>
  <si>
    <t>N2 Total</t>
  </si>
  <si>
    <t>S1 Total</t>
  </si>
  <si>
    <t>S2 Total</t>
  </si>
  <si>
    <t>L1 Total</t>
  </si>
  <si>
    <t>L2 Total</t>
  </si>
  <si>
    <t>Total Geral EDITAL 3</t>
  </si>
  <si>
    <t>PLANILHA AUX.4.3 - BASE AUXILIAR PLANO DE FROTA ANO 00</t>
  </si>
  <si>
    <t>FROTA NECESSÁRIA PARA O INÍCIO DA OPERAÇÃO</t>
  </si>
  <si>
    <t>TIPO DE VEÍCULO</t>
  </si>
  <si>
    <t>POSIÇÃO MOTOR</t>
  </si>
  <si>
    <t>LEVE</t>
  </si>
  <si>
    <t>MICRO</t>
  </si>
  <si>
    <t>DIANTEIRO</t>
  </si>
  <si>
    <t>TRASEIRO</t>
  </si>
  <si>
    <t>PESADO</t>
  </si>
  <si>
    <t>ESPECIAL</t>
  </si>
  <si>
    <t>CENTRAL</t>
  </si>
  <si>
    <t>BACIA</t>
  </si>
  <si>
    <t>Norte/Nordeste</t>
  </si>
  <si>
    <t>Leste/Sudeste</t>
  </si>
  <si>
    <t>TOTAL</t>
  </si>
  <si>
    <t>RESUMO - Cálculo da Tarifa Teto</t>
  </si>
  <si>
    <t>TARIFA TETO (R$/Pass.Equiv.)</t>
  </si>
  <si>
    <t>Resumo</t>
  </si>
  <si>
    <t xml:space="preserve">Edificações, equipamentos e mobiliário de garagem </t>
  </si>
  <si>
    <t>Equipamentos de Bilhetagem e ITS</t>
  </si>
  <si>
    <t>Veículos de apoio</t>
  </si>
  <si>
    <t>Parâmetros considerados</t>
  </si>
  <si>
    <t>Número de meses de vida útil das edificações, equipamentos e mobiliário de garagem</t>
  </si>
  <si>
    <t>Mês</t>
  </si>
  <si>
    <t>Número de meses de vida útil – bilhetagem eletrônica e ITS</t>
  </si>
  <si>
    <t>Número de meses de vida útil – Veículos de apoio</t>
  </si>
  <si>
    <t>PMV</t>
  </si>
  <si>
    <t>Preço Médio do Veículo</t>
  </si>
  <si>
    <t>Fr</t>
  </si>
  <si>
    <t xml:space="preserve">Frota Total </t>
  </si>
  <si>
    <t>Veiculos</t>
  </si>
  <si>
    <t>Depreciação do capital imobilizado</t>
  </si>
  <si>
    <t>Cálculo do coeficiente de depreciação de edif., equip. e mobiliário de garagem</t>
  </si>
  <si>
    <t>Capital investido em edificações, equipamentos e mobiliário de garagem</t>
  </si>
  <si>
    <t>Custo mensal de depreciação de edificações, equipamentos e mobiliário de garagem</t>
  </si>
  <si>
    <t>Coeficiente mensal de depreciação de edif., equip. e mobiliário de garagem</t>
  </si>
  <si>
    <t>Cálculo do coeficiente de depreciação dos equipamentos de bilhetagem e ITS</t>
  </si>
  <si>
    <t>Capital investido em equipamentos de bilhetagem e ITS</t>
  </si>
  <si>
    <t>Número de meses de vida útil dos equipamentos de bilhetagem e ITS</t>
  </si>
  <si>
    <t>Custo mensal de depreciação dos equipamentos de bilhetagem e ITS</t>
  </si>
  <si>
    <t>Coeficiente mensal de depreciação dos equipamentos de bilhetagem e ITS</t>
  </si>
  <si>
    <t>Cálculo do coeficiente de depreciação dos veículos de apoio</t>
  </si>
  <si>
    <t>Capital investido em veículos de apoio</t>
  </si>
  <si>
    <t>Número de meses de vida útil dos veículos de apoio</t>
  </si>
  <si>
    <t>Custo mensal de depreciação dos veículos de apoio</t>
  </si>
  <si>
    <t>Coeficiente mensal de depreciação dos veículos de apoio</t>
  </si>
  <si>
    <t>Terrenos, edificações, equipamentos e mobiliário de garagem</t>
  </si>
  <si>
    <t>Almoxarifado</t>
  </si>
  <si>
    <t>Tx</t>
  </si>
  <si>
    <t>Taxa de remuneração</t>
  </si>
  <si>
    <t>Remuneração do capital imobilizado</t>
  </si>
  <si>
    <t>Cálculo do coeficiente de remuneração do capital investido em terrenos, edif., equip. e mobiliário de garagem</t>
  </si>
  <si>
    <t>Capital investido em terrenos, edificações, equipamentos e mobiliário de garagem</t>
  </si>
  <si>
    <t>Remuneração anual do capital</t>
  </si>
  <si>
    <t>Coeficiente mensal de remun.do capital investido em edif.,equip.e mob.de garagem</t>
  </si>
  <si>
    <t>Cálculo do coeficiente de remuneração do capital investido em almoxarifado</t>
  </si>
  <si>
    <t>Capital investido em almoxarifado (peças e acessórios) - 2 meses de estoque</t>
  </si>
  <si>
    <t>Coeficiente mensal de remuneração do capital investido em almoxarifado</t>
  </si>
  <si>
    <t>Cálculo do coeficiente de remuneração do capital investido em equipamentos de bilhetagem e ITS</t>
  </si>
  <si>
    <t>Coeficiente mensal de remun.do capital investido em equip.de bilhetagem e ITS</t>
  </si>
  <si>
    <t>Cálculo do coeficiente de remuneração do capital investido em veículos de apoio</t>
  </si>
  <si>
    <t>Coeficiente mensal de remuneração do capital investido em veículos de apoio</t>
  </si>
  <si>
    <t>Soma de Valores2</t>
  </si>
  <si>
    <t>Rótulos de Coluna</t>
  </si>
  <si>
    <t>Rótulos de Linha</t>
  </si>
  <si>
    <t>Terrenos, edificações e equipamentos de garagem</t>
  </si>
  <si>
    <t>Estoril</t>
  </si>
  <si>
    <t>Gazômetro</t>
  </si>
  <si>
    <t>Pres Vargas</t>
  </si>
  <si>
    <t>Sudeste</t>
  </si>
  <si>
    <t>VAP</t>
  </si>
  <si>
    <t>Navegantes</t>
  </si>
  <si>
    <t>Nortran</t>
  </si>
  <si>
    <t>Sopal</t>
  </si>
  <si>
    <t>B Novo</t>
  </si>
  <si>
    <t>Restinga</t>
  </si>
  <si>
    <t>Trevo</t>
  </si>
  <si>
    <t>VTC</t>
  </si>
  <si>
    <t>Fonte: Plano de Contas SMT/EPTC 2013</t>
  </si>
  <si>
    <t>Foram agrupadas as contas dos balancetes enviados pelas empresas em:</t>
  </si>
  <si>
    <t>Terrenos, edificações, equipamentos de garagem e veículos de apoio</t>
  </si>
  <si>
    <t>Terrenos</t>
  </si>
  <si>
    <t>Empresa</t>
  </si>
  <si>
    <t>Vtc</t>
  </si>
  <si>
    <t>Gazometro</t>
  </si>
  <si>
    <t>Vap</t>
  </si>
  <si>
    <t>SISTEMA</t>
  </si>
  <si>
    <t>Média</t>
  </si>
  <si>
    <t>Despesas 2 meses</t>
  </si>
  <si>
    <t>Fonte: Plano de contas SMT/EPTC 2013</t>
  </si>
  <si>
    <t>Contas consideradas:</t>
  </si>
  <si>
    <t>Peças e acessórios</t>
  </si>
  <si>
    <t>Material de pintura</t>
  </si>
  <si>
    <t>Ferramentas de pequeno valor</t>
  </si>
  <si>
    <t>Consertos e reformas de motores</t>
  </si>
  <si>
    <t>Materiais auxiliares</t>
  </si>
  <si>
    <t>Equipamentos de proteção individual</t>
  </si>
  <si>
    <t>PLANILHA AUX.2.1 - DEMONSTRAÇÃO DO CÁLCULO DOS COEFICIENTES DE DEPRECIAÇÃO DE CAPITAL</t>
  </si>
  <si>
    <t>PLANILHA AUX.2.2 - DEMONSTRAÇÃO DO CÁLCULO DOS COEFICIENTES DE REMUNERAÇÃO DE CAPITAL</t>
  </si>
  <si>
    <t>PLANILHA AUX.2.3 - VALORES INVESTIDOS EM IMOBILIZADO</t>
  </si>
  <si>
    <t>Tomou-se por base a despesa de dois meses (com base na média mensal anual) com peças e acessórios como sendo o capital investido em almoxarifado, segundo estudo ANTP/NTU.</t>
  </si>
  <si>
    <t>PLANILHA AUX.2.4 - VALORES INVESTIDOS EM TERRENOS</t>
  </si>
  <si>
    <t>PLANILHA AUX.2.5 - VALORES INVESTIDOS EM ALMOXARIFADO</t>
  </si>
  <si>
    <t>PLANILHA AUX.2.6 - INVESTIMENTOS INICIAIS</t>
  </si>
  <si>
    <t>Parâmetros utilizados:</t>
  </si>
  <si>
    <t>PMV (R$ /veíc.)</t>
  </si>
  <si>
    <t>Coeficiente acumulado de depreciação da frota</t>
  </si>
  <si>
    <t>Investimento inicial em frota:</t>
  </si>
  <si>
    <t>Investimento em imobilizado:</t>
  </si>
  <si>
    <t>Coeficientes de depreciação acumulados por faixa-ano</t>
  </si>
  <si>
    <t>Investimento total estimado em frota</t>
  </si>
  <si>
    <t>De (ano)</t>
  </si>
  <si>
    <t>até (ano)</t>
  </si>
  <si>
    <t>Idade média da frota (anos)</t>
  </si>
  <si>
    <t>Valor a deduzir do veículo novo (R$ / veíc.)</t>
  </si>
  <si>
    <t>Frota total (veíc.)</t>
  </si>
  <si>
    <t>Imobilizado total no atual sistema, com base no Balanço contábil das empresas permissionárias em 2013 (R$)</t>
  </si>
  <si>
    <t>Frota do sistema em 2013 (veíc.)</t>
  </si>
  <si>
    <t>Média de investimento em imobilizado por veículo (R$ / veíc.)</t>
  </si>
  <si>
    <t>Investimento total estimado no imobilizado (R$)</t>
  </si>
  <si>
    <t>Valor estimado do investimento inicial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</si>
</sst>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5">
    <numFmt numFmtId="44" formatCode="_(&quot;R$ &quot;* #,##0.00_);_(&quot;R$ &quot;* \(#,##0.00\);_(&quot;R$ &quot;* &quot;-&quot;??_);_(@_)"/>
    <numFmt numFmtId="43" formatCode="_(* #,##0.00_);_(* \(#,##0.00\);_(* &quot;-&quot;??_);_(@_)"/>
    <numFmt numFmtId="164" formatCode="#,##0.0000"/>
    <numFmt numFmtId="165" formatCode="0.0000"/>
    <numFmt numFmtId="166" formatCode="_(&quot;R$&quot;* #,##0.00_);_(&quot;R$&quot;* \(#,##0.00\);_(&quot;R$&quot;* &quot;-&quot;??_);_(@_)"/>
    <numFmt numFmtId="167" formatCode="#,##0.000"/>
    <numFmt numFmtId="168" formatCode="0.000000"/>
    <numFmt numFmtId="169" formatCode="0.00000"/>
    <numFmt numFmtId="170" formatCode="&quot;R$&quot;#,##0_);\(&quot;R$&quot;#,##0\)"/>
    <numFmt numFmtId="171" formatCode="0.000"/>
    <numFmt numFmtId="172" formatCode="&quot;R$&quot;#,##0.0000_);\(&quot;R$&quot;#,##0.0000\)"/>
    <numFmt numFmtId="173" formatCode="_(* #,##0_);_(* \(#,##0\);_(* \-_);_(@_)"/>
    <numFmt numFmtId="174" formatCode="_(&quot;R$&quot;* #,##0_);_(&quot;R$&quot;* \(#,##0\);_(&quot;R$&quot;* \-_);_(@_)"/>
    <numFmt numFmtId="175" formatCode="_([$€-2]* #,##0.00_);_([$€-2]* \(#,##0.00\);_([$€-2]* \-??_)"/>
    <numFmt numFmtId="176" formatCode="&quot;R$ &quot;#,##0;[Red]&quot;-R$ &quot;#,##0"/>
    <numFmt numFmtId="177" formatCode="_-* #,##0.00&quot; Esc.&quot;_-;\-* #,##0.00&quot; Esc.&quot;_-;_-* \-??&quot; Esc.&quot;_-;_-@_-"/>
    <numFmt numFmtId="178" formatCode="_-* #,##0.00\ _E_s_c_._-;\-* #,##0.00\ _E_s_c_._-;_-* \-??\ _E_s_c_._-;_-@_-"/>
    <numFmt numFmtId="179" formatCode="mmmm\-yyyy"/>
    <numFmt numFmtId="180" formatCode="_(&quot;R$ &quot;* #,##0.00_);_(&quot;R$ &quot;* \(#,##0.00\);_(&quot;R$ &quot;* \-??_);_(@_)"/>
    <numFmt numFmtId="181" formatCode="_(&quot;R$ &quot;* #\,##0\.00_);_(&quot;R$ &quot;* \(#\,##0\.00\);_(&quot;R$ &quot;* \-??_);_(@_)"/>
    <numFmt numFmtId="182" formatCode="#,##0.000000000"/>
    <numFmt numFmtId="183" formatCode="[$€-2]\ #,##0.00_);[Red]\([$€-2]\ #,##0.00\)"/>
    <numFmt numFmtId="184" formatCode="mm/yy"/>
    <numFmt numFmtId="185" formatCode="&quot;R$ &quot;#,##0;&quot;-R$ &quot;#,##0"/>
    <numFmt numFmtId="186" formatCode="_(* #,##0.00_);_(* \(#,##0.00\);_(* \-??_);_(@_)"/>
    <numFmt numFmtId="187" formatCode="_(* #\,##0\.00_);_(* \(#\,##0\.00\);_(* \-??_);_(@_)"/>
    <numFmt numFmtId="188" formatCode="_(* #,##0_);_(* \(#,##0\);_(* \-??_);_(@_)"/>
    <numFmt numFmtId="189" formatCode="_-* #,##0.00\ _E_s_c_._-;\-* #,##0.00\ _E_s_c_._-;_-* &quot;-&quot;??\ _E_s_c_._-;_-@_-"/>
    <numFmt numFmtId="190" formatCode="_-* #,##0.00_-;\-* #,##0.00_-;_-* &quot;-&quot;??_-;_-@_-"/>
    <numFmt numFmtId="191" formatCode="0.0"/>
    <numFmt numFmtId="192" formatCode="#,##0.00000"/>
    <numFmt numFmtId="193" formatCode="0.0000000"/>
    <numFmt numFmtId="194" formatCode="#,##0.00000_ ;\-#,##0.00000\ "/>
    <numFmt numFmtId="195" formatCode="#,##0.00_ ;\-#,##0.00\ "/>
    <numFmt numFmtId="196" formatCode="#,##0.000000"/>
  </numFmts>
  <fonts count="58" x14ac:knownFonts="1"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sz val="10"/>
      <color indexed="8"/>
      <name val="Arial"/>
      <family val="2"/>
    </font>
    <font>
      <sz val="10"/>
      <color theme="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sz val="11"/>
      <color rgb="FF006100"/>
      <name val="Calibri"/>
      <family val="2"/>
      <scheme val="minor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u/>
      <sz val="8.5"/>
      <color indexed="12"/>
      <name val="Arial"/>
      <family val="2"/>
    </font>
    <font>
      <sz val="11"/>
      <color indexed="20"/>
      <name val="Calibri"/>
      <family val="2"/>
    </font>
    <font>
      <sz val="11"/>
      <color indexed="8"/>
      <name val="Calibri"/>
      <family val="2"/>
      <charset val="204"/>
    </font>
    <font>
      <sz val="11"/>
      <color indexed="19"/>
      <name val="Calibri"/>
      <family val="2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7"/>
      <name val="Arial"/>
      <family val="2"/>
    </font>
    <font>
      <b/>
      <sz val="10"/>
      <color indexed="8"/>
      <name val="Arial"/>
      <family val="2"/>
    </font>
    <font>
      <b/>
      <u/>
      <sz val="11"/>
      <name val="Arial"/>
      <family val="2"/>
    </font>
    <font>
      <u/>
      <sz val="11"/>
      <name val="Arial"/>
      <family val="2"/>
    </font>
    <font>
      <b/>
      <sz val="12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u/>
      <sz val="10"/>
      <color theme="1"/>
      <name val="Arial"/>
      <family val="2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u/>
      <sz val="10"/>
      <name val="Arial"/>
      <family val="2"/>
    </font>
    <font>
      <u/>
      <sz val="10"/>
      <name val="Arial"/>
      <family val="2"/>
    </font>
    <font>
      <sz val="9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3"/>
        <bgColor indexed="64"/>
      </patternFill>
    </fill>
    <fill>
      <patternFill patternType="solid">
        <fgColor indexed="44"/>
        <bgColor indexed="27"/>
      </patternFill>
    </fill>
    <fill>
      <patternFill patternType="solid">
        <fgColor indexed="29"/>
        <bgColor indexed="45"/>
      </patternFill>
    </fill>
    <fill>
      <patternFill patternType="solid">
        <fgColor indexed="26"/>
        <bgColor indexed="43"/>
      </patternFill>
    </fill>
    <fill>
      <patternFill patternType="solid">
        <fgColor indexed="31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61"/>
        <bgColor indexed="23"/>
      </patternFill>
    </fill>
    <fill>
      <patternFill patternType="solid">
        <fgColor indexed="50"/>
        <bgColor indexed="19"/>
      </patternFill>
    </fill>
    <fill>
      <patternFill patternType="solid">
        <fgColor indexed="42"/>
        <bgColor indexed="4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60"/>
      </patternFill>
    </fill>
    <fill>
      <patternFill patternType="solid">
        <fgColor indexed="46"/>
        <bgColor indexed="45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5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5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5"/>
      </left>
      <right/>
      <top style="thin">
        <color indexed="8"/>
      </top>
      <bottom style="thin">
        <color indexed="64"/>
      </bottom>
      <diagonal/>
    </border>
    <border>
      <left style="thin">
        <color indexed="65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5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16">
    <xf numFmtId="0" fontId="0" fillId="0" borderId="0"/>
    <xf numFmtId="9" fontId="5" fillId="0" borderId="0" applyFont="0" applyFill="0" applyBorder="0" applyAlignment="0" applyProtection="0"/>
    <xf numFmtId="1" fontId="4" fillId="0" borderId="0" applyFont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9" fillId="0" borderId="0"/>
    <xf numFmtId="170" fontId="5" fillId="0" borderId="0" applyFill="0" applyBorder="0" applyAlignment="0" applyProtection="0"/>
    <xf numFmtId="0" fontId="16" fillId="0" borderId="0"/>
    <xf numFmtId="9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9" borderId="0" applyNumberFormat="0" applyBorder="0" applyAlignment="0" applyProtection="0"/>
    <xf numFmtId="0" fontId="19" fillId="11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3" borderId="0" applyNumberFormat="0" applyBorder="0" applyAlignment="0" applyProtection="0"/>
    <xf numFmtId="0" fontId="20" fillId="11" borderId="0" applyNumberFormat="0" applyBorder="0" applyAlignment="0" applyProtection="0"/>
    <xf numFmtId="0" fontId="20" fillId="8" borderId="0" applyNumberFormat="0" applyBorder="0" applyAlignment="0" applyProtection="0"/>
    <xf numFmtId="37" fontId="5" fillId="0" borderId="0"/>
    <xf numFmtId="0" fontId="21" fillId="16" borderId="0" applyNumberFormat="0" applyBorder="0" applyAlignment="0" applyProtection="0"/>
    <xf numFmtId="0" fontId="21" fillId="11" borderId="0" applyNumberFormat="0" applyBorder="0" applyAlignment="0" applyProtection="0"/>
    <xf numFmtId="0" fontId="22" fillId="5" borderId="0" applyNumberFormat="0" applyBorder="0" applyAlignment="0" applyProtection="0"/>
    <xf numFmtId="0" fontId="23" fillId="17" borderId="6" applyNumberFormat="0" applyAlignment="0" applyProtection="0"/>
    <xf numFmtId="0" fontId="24" fillId="18" borderId="7" applyNumberFormat="0" applyAlignment="0" applyProtection="0"/>
    <xf numFmtId="0" fontId="25" fillId="0" borderId="8" applyNumberFormat="0" applyFill="0" applyAlignment="0" applyProtection="0"/>
    <xf numFmtId="173" fontId="5" fillId="0" borderId="0" applyFill="0" applyBorder="0" applyAlignment="0" applyProtection="0"/>
    <xf numFmtId="174" fontId="5" fillId="0" borderId="0" applyFill="0" applyBorder="0" applyAlignment="0" applyProtection="0"/>
    <xf numFmtId="0" fontId="20" fillId="19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6" fillId="12" borderId="6" applyNumberFormat="0" applyAlignment="0" applyProtection="0"/>
    <xf numFmtId="175" fontId="5" fillId="0" borderId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23" borderId="0" applyNumberFormat="0" applyBorder="0" applyAlignment="0" applyProtection="0"/>
    <xf numFmtId="166" fontId="29" fillId="0" borderId="0" applyFont="0" applyFill="0" applyBorder="0" applyAlignment="0" applyProtection="0"/>
    <xf numFmtId="44" fontId="5" fillId="0" borderId="0" applyFill="0" applyBorder="0" applyAlignment="0" applyProtection="0"/>
    <xf numFmtId="176" fontId="5" fillId="0" borderId="0" applyFill="0" applyBorder="0" applyAlignment="0" applyProtection="0"/>
    <xf numFmtId="176" fontId="5" fillId="0" borderId="0" applyFill="0" applyBorder="0" applyAlignment="0" applyProtection="0"/>
    <xf numFmtId="164" fontId="5" fillId="0" borderId="0" applyFill="0" applyBorder="0" applyAlignment="0" applyProtection="0"/>
    <xf numFmtId="177" fontId="5" fillId="0" borderId="0" applyFill="0" applyBorder="0" applyAlignment="0" applyProtection="0"/>
    <xf numFmtId="177" fontId="5" fillId="0" borderId="0" applyFill="0" applyBorder="0" applyAlignment="0" applyProtection="0"/>
    <xf numFmtId="171" fontId="5" fillId="0" borderId="0" applyFill="0" applyBorder="0" applyAlignment="0" applyProtection="0"/>
    <xf numFmtId="178" fontId="5" fillId="0" borderId="0" applyFill="0" applyBorder="0" applyAlignment="0" applyProtection="0"/>
    <xf numFmtId="178" fontId="5" fillId="0" borderId="0" applyFill="0" applyBorder="0" applyAlignment="0" applyProtection="0"/>
    <xf numFmtId="179" fontId="5" fillId="0" borderId="0" applyFill="0" applyBorder="0" applyAlignment="0" applyProtection="0"/>
    <xf numFmtId="177" fontId="5" fillId="0" borderId="0" applyFill="0" applyBorder="0" applyAlignment="0" applyProtection="0"/>
    <xf numFmtId="177" fontId="5" fillId="0" borderId="0" applyFill="0" applyBorder="0" applyAlignment="0" applyProtection="0"/>
    <xf numFmtId="177" fontId="5" fillId="0" borderId="0" applyFill="0" applyBorder="0" applyAlignment="0" applyProtection="0"/>
    <xf numFmtId="180" fontId="5" fillId="0" borderId="0" applyFill="0" applyBorder="0" applyAlignment="0" applyProtection="0"/>
    <xf numFmtId="44" fontId="19" fillId="0" borderId="0" applyFont="0" applyFill="0" applyBorder="0" applyAlignment="0" applyProtection="0"/>
    <xf numFmtId="171" fontId="5" fillId="0" borderId="0" applyFill="0" applyBorder="0" applyAlignment="0" applyProtection="0"/>
    <xf numFmtId="168" fontId="5" fillId="0" borderId="0" applyFill="0" applyBorder="0" applyAlignment="0" applyProtection="0"/>
    <xf numFmtId="181" fontId="5" fillId="0" borderId="0" applyFill="0" applyBorder="0" applyAlignment="0" applyProtection="0"/>
    <xf numFmtId="181" fontId="5" fillId="0" borderId="0" applyFill="0" applyBorder="0" applyAlignment="0" applyProtection="0"/>
    <xf numFmtId="167" fontId="5" fillId="0" borderId="0" applyFill="0" applyBorder="0" applyAlignment="0" applyProtection="0"/>
    <xf numFmtId="181" fontId="5" fillId="0" borderId="0" applyFill="0" applyBorder="0" applyAlignment="0" applyProtection="0"/>
    <xf numFmtId="169" fontId="5" fillId="0" borderId="0" applyFont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44" fontId="5" fillId="0" borderId="0" applyFill="0" applyBorder="0" applyAlignment="0" applyProtection="0"/>
    <xf numFmtId="0" fontId="30" fillId="12" borderId="0" applyNumberFormat="0" applyBorder="0" applyAlignment="0" applyProtection="0"/>
    <xf numFmtId="0" fontId="5" fillId="0" borderId="0"/>
    <xf numFmtId="0" fontId="31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5" fillId="9" borderId="9" applyNumberFormat="0" applyAlignment="0" applyProtection="0"/>
    <xf numFmtId="9" fontId="32" fillId="0" borderId="0" applyFont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ont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5" fillId="0" borderId="0" applyFill="0" applyBorder="0" applyAlignment="0" applyProtection="0"/>
    <xf numFmtId="9" fontId="18" fillId="0" borderId="0" applyFont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5" fillId="0" borderId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ill="0" applyBorder="0" applyAlignment="0" applyProtection="0"/>
    <xf numFmtId="0" fontId="34" fillId="17" borderId="10" applyNumberFormat="0" applyAlignment="0" applyProtection="0"/>
    <xf numFmtId="183" fontId="5" fillId="0" borderId="0" applyFill="0" applyBorder="0" applyAlignment="0" applyProtection="0"/>
    <xf numFmtId="182" fontId="5" fillId="0" borderId="0" applyFill="0" applyBorder="0" applyAlignment="0" applyProtection="0"/>
    <xf numFmtId="182" fontId="5" fillId="0" borderId="0" applyFill="0" applyBorder="0" applyAlignment="0" applyProtection="0"/>
    <xf numFmtId="178" fontId="5" fillId="0" borderId="0" applyFill="0" applyBorder="0" applyAlignment="0" applyProtection="0"/>
    <xf numFmtId="165" fontId="5" fillId="0" borderId="0" applyFill="0" applyBorder="0" applyAlignment="0" applyProtection="0"/>
    <xf numFmtId="184" fontId="5" fillId="0" borderId="0" applyFill="0" applyBorder="0" applyAlignment="0" applyProtection="0"/>
    <xf numFmtId="178" fontId="5" fillId="0" borderId="0" applyFill="0" applyBorder="0" applyAlignment="0" applyProtection="0"/>
    <xf numFmtId="178" fontId="5" fillId="0" borderId="0" applyFill="0" applyBorder="0" applyAlignment="0" applyProtection="0"/>
    <xf numFmtId="178" fontId="5" fillId="0" borderId="0" applyFill="0" applyBorder="0" applyAlignment="0" applyProtection="0"/>
    <xf numFmtId="178" fontId="5" fillId="0" borderId="0" applyFill="0" applyBorder="0" applyAlignment="0" applyProtection="0"/>
    <xf numFmtId="185" fontId="5" fillId="0" borderId="0" applyFill="0" applyBorder="0" applyAlignment="0" applyProtection="0"/>
    <xf numFmtId="185" fontId="5" fillId="0" borderId="0" applyFill="0" applyBorder="0" applyAlignment="0" applyProtection="0"/>
    <xf numFmtId="175" fontId="5" fillId="0" borderId="0" applyFill="0" applyBorder="0" applyAlignment="0" applyProtection="0"/>
    <xf numFmtId="185" fontId="5" fillId="0" borderId="0" applyFill="0" applyBorder="0" applyAlignment="0" applyProtection="0"/>
    <xf numFmtId="186" fontId="5" fillId="0" borderId="0" applyFill="0" applyBorder="0" applyAlignment="0" applyProtection="0"/>
    <xf numFmtId="186" fontId="5" fillId="0" borderId="0" applyFill="0" applyBorder="0" applyAlignment="0" applyProtection="0"/>
    <xf numFmtId="0" fontId="5" fillId="0" borderId="0" applyFill="0" applyBorder="0" applyAlignment="0" applyProtection="0"/>
    <xf numFmtId="187" fontId="5" fillId="0" borderId="0" applyFill="0" applyBorder="0" applyAlignment="0" applyProtection="0"/>
    <xf numFmtId="175" fontId="5" fillId="0" borderId="0" applyFill="0" applyBorder="0" applyAlignment="0" applyProtection="0"/>
    <xf numFmtId="186" fontId="5" fillId="0" borderId="0" applyFill="0" applyBorder="0" applyAlignment="0" applyProtection="0"/>
    <xf numFmtId="43" fontId="19" fillId="0" borderId="0" applyFont="0" applyFill="0" applyBorder="0" applyAlignment="0" applyProtection="0"/>
    <xf numFmtId="187" fontId="5" fillId="0" borderId="0" applyFill="0" applyBorder="0" applyAlignment="0" applyProtection="0"/>
    <xf numFmtId="188" fontId="5" fillId="0" borderId="0" applyFont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169" fontId="5" fillId="0" borderId="0" applyFill="0" applyBorder="0" applyAlignment="0" applyProtection="0"/>
    <xf numFmtId="0" fontId="2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6" fillId="0" borderId="0" applyNumberFormat="0" applyFill="0" applyBorder="0" applyAlignment="0" applyProtection="0"/>
    <xf numFmtId="0" fontId="38" fillId="0" borderId="13" applyNumberFormat="0" applyFill="0" applyAlignment="0" applyProtection="0"/>
    <xf numFmtId="0" fontId="39" fillId="0" borderId="14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5" applyNumberFormat="0" applyFill="0" applyAlignment="0" applyProtection="0"/>
    <xf numFmtId="189" fontId="5" fillId="0" borderId="0" applyFont="0" applyFill="0" applyBorder="0" applyAlignment="0" applyProtection="0"/>
    <xf numFmtId="178" fontId="5" fillId="0" borderId="0" applyFill="0" applyBorder="0" applyAlignment="0" applyProtection="0"/>
    <xf numFmtId="178" fontId="5" fillId="0" borderId="0" applyFill="0" applyBorder="0" applyAlignment="0" applyProtection="0"/>
    <xf numFmtId="190" fontId="32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861">
    <xf numFmtId="0" fontId="0" fillId="0" borderId="0" xfId="0"/>
    <xf numFmtId="1" fontId="5" fillId="2" borderId="0" xfId="2" applyFont="1" applyFill="1" applyBorder="1"/>
    <xf numFmtId="1" fontId="5" fillId="2" borderId="0" xfId="2" applyFont="1" applyFill="1"/>
    <xf numFmtId="164" fontId="5" fillId="2" borderId="0" xfId="2" applyNumberFormat="1" applyFont="1" applyFill="1"/>
    <xf numFmtId="1" fontId="5" fillId="2" borderId="0" xfId="2" applyFont="1" applyFill="1" applyAlignment="1">
      <alignment horizontal="right"/>
    </xf>
    <xf numFmtId="172" fontId="6" fillId="2" borderId="0" xfId="9" applyNumberFormat="1" applyFont="1" applyFill="1" applyBorder="1" applyAlignment="1">
      <alignment horizontal="center"/>
    </xf>
    <xf numFmtId="1" fontId="5" fillId="2" borderId="0" xfId="2" applyFont="1" applyFill="1" applyAlignment="1">
      <alignment vertical="center"/>
    </xf>
    <xf numFmtId="0" fontId="5" fillId="3" borderId="0" xfId="10" applyFont="1" applyFill="1" applyProtection="1">
      <protection locked="0"/>
    </xf>
    <xf numFmtId="0" fontId="3" fillId="3" borderId="0" xfId="10" applyFont="1" applyFill="1" applyBorder="1" applyAlignment="1">
      <alignment horizontal="right"/>
    </xf>
    <xf numFmtId="165" fontId="15" fillId="3" borderId="0" xfId="10" applyNumberFormat="1" applyFont="1" applyFill="1" applyBorder="1" applyAlignment="1">
      <alignment horizontal="right"/>
    </xf>
    <xf numFmtId="0" fontId="5" fillId="3" borderId="0" xfId="10" applyFont="1" applyFill="1" applyAlignment="1" applyProtection="1">
      <alignment horizontal="center"/>
      <protection locked="0"/>
    </xf>
    <xf numFmtId="0" fontId="42" fillId="4" borderId="0" xfId="10" applyFont="1" applyFill="1" applyAlignment="1" applyProtection="1">
      <alignment vertical="center"/>
      <protection locked="0"/>
    </xf>
    <xf numFmtId="0" fontId="16" fillId="4" borderId="0" xfId="10" applyFont="1" applyFill="1" applyAlignment="1" applyProtection="1">
      <alignment horizontal="center" vertical="center"/>
      <protection locked="0"/>
    </xf>
    <xf numFmtId="0" fontId="16" fillId="4" borderId="0" xfId="10" applyFont="1" applyFill="1" applyBorder="1" applyAlignment="1" applyProtection="1">
      <alignment horizontal="center" vertical="center"/>
      <protection locked="0"/>
    </xf>
    <xf numFmtId="0" fontId="16" fillId="0" borderId="0" xfId="10" applyFont="1" applyFill="1" applyAlignment="1" applyProtection="1">
      <alignment vertical="center"/>
      <protection locked="0"/>
    </xf>
    <xf numFmtId="0" fontId="42" fillId="0" borderId="0" xfId="10" applyFont="1" applyFill="1" applyAlignment="1" applyProtection="1">
      <alignment vertical="center"/>
      <protection locked="0"/>
    </xf>
    <xf numFmtId="0" fontId="16" fillId="0" borderId="0" xfId="10" applyFont="1" applyFill="1" applyAlignment="1" applyProtection="1">
      <alignment horizontal="center" vertical="center"/>
      <protection locked="0"/>
    </xf>
    <xf numFmtId="0" fontId="16" fillId="0" borderId="0" xfId="10" applyFont="1" applyFill="1" applyBorder="1" applyAlignment="1" applyProtection="1">
      <alignment horizontal="center" vertical="center"/>
      <protection locked="0"/>
    </xf>
    <xf numFmtId="4" fontId="16" fillId="0" borderId="0" xfId="10" applyNumberFormat="1" applyFont="1" applyFill="1" applyAlignment="1" applyProtection="1">
      <alignment horizontal="center" vertical="center"/>
      <protection locked="0"/>
    </xf>
    <xf numFmtId="0" fontId="16" fillId="0" borderId="0" xfId="10" applyFont="1" applyFill="1" applyBorder="1" applyAlignment="1" applyProtection="1">
      <alignment vertical="center"/>
      <protection locked="0"/>
    </xf>
    <xf numFmtId="0" fontId="16" fillId="4" borderId="0" xfId="10" applyFill="1" applyProtection="1">
      <protection locked="0"/>
    </xf>
    <xf numFmtId="0" fontId="16" fillId="3" borderId="0" xfId="10" applyFill="1" applyProtection="1">
      <protection locked="0"/>
    </xf>
    <xf numFmtId="49" fontId="16" fillId="3" borderId="0" xfId="10" applyNumberFormat="1" applyFill="1" applyAlignment="1" applyProtection="1">
      <alignment horizontal="left"/>
      <protection locked="0"/>
    </xf>
    <xf numFmtId="2" fontId="44" fillId="3" borderId="0" xfId="10" applyNumberFormat="1" applyFont="1" applyFill="1" applyAlignment="1" applyProtection="1">
      <alignment horizontal="right"/>
      <protection locked="0"/>
    </xf>
    <xf numFmtId="1" fontId="44" fillId="3" borderId="0" xfId="10" applyNumberFormat="1" applyFont="1" applyFill="1" applyAlignment="1" applyProtection="1">
      <alignment horizontal="right"/>
      <protection locked="0"/>
    </xf>
    <xf numFmtId="169" fontId="44" fillId="3" borderId="0" xfId="10" applyNumberFormat="1" applyFont="1" applyFill="1" applyAlignment="1" applyProtection="1">
      <alignment horizontal="right"/>
      <protection locked="0"/>
    </xf>
    <xf numFmtId="49" fontId="43" fillId="3" borderId="0" xfId="10" applyNumberFormat="1" applyFont="1" applyFill="1" applyAlignment="1" applyProtection="1">
      <alignment horizontal="left"/>
      <protection locked="0"/>
    </xf>
    <xf numFmtId="169" fontId="16" fillId="3" borderId="0" xfId="10" applyNumberFormat="1" applyFill="1" applyAlignment="1" applyProtection="1">
      <alignment horizontal="right"/>
      <protection locked="0"/>
    </xf>
    <xf numFmtId="0" fontId="16" fillId="3" borderId="0" xfId="10" applyFill="1" applyAlignment="1" applyProtection="1">
      <alignment horizontal="right"/>
      <protection locked="0"/>
    </xf>
    <xf numFmtId="165" fontId="16" fillId="0" borderId="0" xfId="10" applyNumberFormat="1" applyFont="1" applyFill="1" applyAlignment="1" applyProtection="1">
      <alignment vertical="center"/>
      <protection locked="0"/>
    </xf>
    <xf numFmtId="0" fontId="42" fillId="4" borderId="0" xfId="10" applyFont="1" applyFill="1" applyProtection="1">
      <protection locked="0"/>
    </xf>
    <xf numFmtId="0" fontId="16" fillId="0" borderId="0" xfId="10" applyProtection="1">
      <protection locked="0"/>
    </xf>
    <xf numFmtId="0" fontId="8" fillId="0" borderId="0" xfId="10" applyFont="1" applyAlignment="1" applyProtection="1">
      <alignment horizontal="right"/>
      <protection locked="0"/>
    </xf>
    <xf numFmtId="49" fontId="14" fillId="6" borderId="5" xfId="10" applyNumberFormat="1" applyFont="1" applyFill="1" applyBorder="1" applyAlignment="1" applyProtection="1">
      <alignment horizontal="left"/>
    </xf>
    <xf numFmtId="0" fontId="8" fillId="0" borderId="0" xfId="10" applyFont="1" applyAlignment="1" applyProtection="1">
      <alignment horizontal="left"/>
      <protection locked="0"/>
    </xf>
    <xf numFmtId="49" fontId="14" fillId="6" borderId="5" xfId="10" applyNumberFormat="1" applyFont="1" applyFill="1" applyBorder="1" applyAlignment="1" applyProtection="1">
      <alignment horizontal="left" vertical="center" wrapText="1"/>
    </xf>
    <xf numFmtId="49" fontId="46" fillId="0" borderId="0" xfId="10" applyNumberFormat="1" applyFont="1" applyAlignment="1" applyProtection="1">
      <alignment horizontal="left"/>
    </xf>
    <xf numFmtId="0" fontId="1" fillId="0" borderId="0" xfId="10" applyFont="1" applyProtection="1"/>
    <xf numFmtId="49" fontId="1" fillId="0" borderId="0" xfId="10" applyNumberFormat="1" applyFont="1" applyAlignment="1" applyProtection="1">
      <alignment horizontal="left"/>
    </xf>
    <xf numFmtId="49" fontId="47" fillId="0" borderId="0" xfId="10" applyNumberFormat="1" applyFont="1" applyAlignment="1" applyProtection="1">
      <alignment horizontal="left"/>
    </xf>
    <xf numFmtId="165" fontId="1" fillId="0" borderId="0" xfId="10" applyNumberFormat="1" applyFont="1" applyAlignment="1" applyProtection="1">
      <alignment horizontal="right"/>
    </xf>
    <xf numFmtId="4" fontId="1" fillId="0" borderId="0" xfId="10" applyNumberFormat="1" applyFont="1" applyAlignment="1" applyProtection="1">
      <alignment horizontal="center"/>
    </xf>
    <xf numFmtId="4" fontId="1" fillId="0" borderId="0" xfId="10" applyNumberFormat="1" applyFont="1" applyAlignment="1" applyProtection="1">
      <alignment horizontal="right"/>
    </xf>
    <xf numFmtId="49" fontId="14" fillId="6" borderId="5" xfId="10" applyNumberFormat="1" applyFont="1" applyFill="1" applyBorder="1" applyAlignment="1" applyProtection="1">
      <alignment horizontal="center"/>
    </xf>
    <xf numFmtId="4" fontId="14" fillId="6" borderId="5" xfId="10" applyNumberFormat="1" applyFont="1" applyFill="1" applyBorder="1" applyAlignment="1" applyProtection="1">
      <alignment horizontal="center"/>
    </xf>
    <xf numFmtId="164" fontId="14" fillId="6" borderId="5" xfId="10" applyNumberFormat="1" applyFont="1" applyFill="1" applyBorder="1" applyAlignment="1" applyProtection="1">
      <alignment horizontal="center"/>
    </xf>
    <xf numFmtId="165" fontId="14" fillId="6" borderId="5" xfId="10" applyNumberFormat="1" applyFont="1" applyFill="1" applyBorder="1" applyAlignment="1" applyProtection="1">
      <alignment horizontal="center"/>
    </xf>
    <xf numFmtId="10" fontId="12" fillId="2" borderId="0" xfId="1" applyNumberFormat="1" applyFont="1" applyFill="1" applyBorder="1" applyAlignment="1">
      <alignment horizontal="center"/>
    </xf>
    <xf numFmtId="9" fontId="5" fillId="3" borderId="0" xfId="1" applyFont="1" applyFill="1" applyAlignment="1" applyProtection="1">
      <alignment horizontal="center"/>
      <protection locked="0"/>
    </xf>
    <xf numFmtId="0" fontId="13" fillId="6" borderId="5" xfId="10" applyFont="1" applyFill="1" applyBorder="1" applyAlignment="1" applyProtection="1">
      <alignment horizontal="center" vertical="center"/>
    </xf>
    <xf numFmtId="3" fontId="13" fillId="6" borderId="5" xfId="10" applyNumberFormat="1" applyFont="1" applyFill="1" applyBorder="1" applyAlignment="1" applyProtection="1">
      <alignment horizontal="center" vertical="center"/>
    </xf>
    <xf numFmtId="4" fontId="13" fillId="6" borderId="5" xfId="10" applyNumberFormat="1" applyFont="1" applyFill="1" applyBorder="1" applyAlignment="1" applyProtection="1">
      <alignment horizontal="center" vertical="center"/>
    </xf>
    <xf numFmtId="164" fontId="14" fillId="6" borderId="5" xfId="10" applyNumberFormat="1" applyFont="1" applyFill="1" applyBorder="1" applyAlignment="1" applyProtection="1">
      <alignment horizontal="center" vertical="center"/>
    </xf>
    <xf numFmtId="0" fontId="5" fillId="3" borderId="0" xfId="10" applyFont="1" applyFill="1" applyBorder="1" applyProtection="1">
      <protection locked="0"/>
    </xf>
    <xf numFmtId="165" fontId="14" fillId="6" borderId="5" xfId="10" applyNumberFormat="1" applyFont="1" applyFill="1" applyBorder="1" applyAlignment="1" applyProtection="1">
      <alignment horizontal="center" vertical="center"/>
    </xf>
    <xf numFmtId="4" fontId="13" fillId="6" borderId="5" xfId="10" applyNumberFormat="1" applyFont="1" applyFill="1" applyBorder="1" applyAlignment="1" applyProtection="1">
      <alignment horizontal="center"/>
    </xf>
    <xf numFmtId="49" fontId="14" fillId="6" borderId="5" xfId="10" applyNumberFormat="1" applyFont="1" applyFill="1" applyBorder="1" applyAlignment="1" applyProtection="1">
      <alignment horizontal="center" vertical="center"/>
    </xf>
    <xf numFmtId="0" fontId="14" fillId="6" borderId="5" xfId="10" applyFont="1" applyFill="1" applyBorder="1" applyAlignment="1" applyProtection="1">
      <alignment horizontal="center" vertical="center"/>
    </xf>
    <xf numFmtId="49" fontId="8" fillId="0" borderId="0" xfId="10" applyNumberFormat="1" applyFont="1" applyFill="1" applyBorder="1" applyAlignment="1" applyProtection="1">
      <alignment horizontal="left" vertical="center"/>
      <protection locked="0"/>
    </xf>
    <xf numFmtId="0" fontId="8" fillId="0" borderId="0" xfId="10" applyFont="1" applyFill="1" applyBorder="1" applyAlignment="1" applyProtection="1">
      <alignment horizontal="center" vertical="center"/>
      <protection locked="0"/>
    </xf>
    <xf numFmtId="0" fontId="5" fillId="0" borderId="0" xfId="10" applyFont="1" applyFill="1" applyBorder="1" applyAlignment="1" applyProtection="1">
      <alignment horizontal="center" vertical="center"/>
      <protection locked="0"/>
    </xf>
    <xf numFmtId="3" fontId="5" fillId="0" borderId="5" xfId="10" applyNumberFormat="1" applyFont="1" applyFill="1" applyBorder="1" applyAlignment="1" applyProtection="1">
      <alignment horizontal="center" vertical="center"/>
    </xf>
    <xf numFmtId="49" fontId="14" fillId="6" borderId="5" xfId="10" applyNumberFormat="1" applyFont="1" applyFill="1" applyBorder="1" applyAlignment="1" applyProtection="1">
      <alignment horizontal="left" wrapText="1"/>
    </xf>
    <xf numFmtId="1" fontId="10" fillId="2" borderId="0" xfId="2" applyFont="1" applyFill="1" applyAlignment="1">
      <alignment vertical="center"/>
    </xf>
    <xf numFmtId="165" fontId="5" fillId="2" borderId="0" xfId="2" applyNumberFormat="1" applyFont="1" applyFill="1" applyAlignment="1">
      <alignment vertical="center"/>
    </xf>
    <xf numFmtId="0" fontId="0" fillId="3" borderId="0" xfId="10" applyFont="1" applyFill="1" applyAlignment="1" applyProtection="1">
      <alignment horizontal="center"/>
      <protection locked="0"/>
    </xf>
    <xf numFmtId="193" fontId="16" fillId="0" borderId="0" xfId="10" applyNumberFormat="1" applyFont="1" applyFill="1" applyAlignment="1" applyProtection="1">
      <alignment vertical="center"/>
      <protection locked="0"/>
    </xf>
    <xf numFmtId="3" fontId="13" fillId="6" borderId="16" xfId="10" applyNumberFormat="1" applyFont="1" applyFill="1" applyBorder="1" applyAlignment="1" applyProtection="1">
      <alignment horizontal="center" vertical="center"/>
    </xf>
    <xf numFmtId="0" fontId="5" fillId="3" borderId="0" xfId="10" applyFont="1" applyFill="1" applyAlignment="1" applyProtection="1">
      <alignment vertical="center"/>
      <protection locked="0"/>
    </xf>
    <xf numFmtId="3" fontId="16" fillId="0" borderId="0" xfId="10" applyNumberFormat="1" applyFont="1" applyFill="1" applyAlignment="1" applyProtection="1">
      <alignment vertical="center"/>
      <protection locked="0"/>
    </xf>
    <xf numFmtId="3" fontId="5" fillId="3" borderId="5" xfId="10" applyNumberFormat="1" applyFont="1" applyFill="1" applyBorder="1" applyAlignment="1" applyProtection="1">
      <alignment horizontal="center" vertical="center"/>
    </xf>
    <xf numFmtId="49" fontId="5" fillId="3" borderId="5" xfId="10" applyNumberFormat="1" applyFont="1" applyFill="1" applyBorder="1" applyAlignment="1" applyProtection="1">
      <alignment horizontal="center" vertical="center"/>
    </xf>
    <xf numFmtId="191" fontId="5" fillId="3" borderId="5" xfId="10" applyNumberFormat="1" applyFont="1" applyFill="1" applyBorder="1" applyAlignment="1" applyProtection="1">
      <alignment horizontal="center" vertical="center"/>
    </xf>
    <xf numFmtId="1" fontId="5" fillId="3" borderId="5" xfId="10" applyNumberFormat="1" applyFont="1" applyFill="1" applyBorder="1" applyAlignment="1" applyProtection="1">
      <alignment horizontal="center" vertical="center"/>
    </xf>
    <xf numFmtId="168" fontId="5" fillId="3" borderId="5" xfId="10" applyNumberFormat="1" applyFont="1" applyFill="1" applyBorder="1" applyAlignment="1" applyProtection="1">
      <alignment horizontal="center" vertical="center"/>
    </xf>
    <xf numFmtId="2" fontId="5" fillId="3" borderId="5" xfId="10" applyNumberFormat="1" applyFont="1" applyFill="1" applyBorder="1" applyAlignment="1" applyProtection="1">
      <alignment horizontal="center" vertical="center"/>
    </xf>
    <xf numFmtId="164" fontId="5" fillId="3" borderId="5" xfId="10" applyNumberFormat="1" applyFont="1" applyFill="1" applyBorder="1" applyAlignment="1" applyProtection="1">
      <alignment horizontal="center" vertical="center"/>
    </xf>
    <xf numFmtId="4" fontId="5" fillId="3" borderId="5" xfId="10" applyNumberFormat="1" applyFont="1" applyFill="1" applyBorder="1" applyAlignment="1" applyProtection="1">
      <alignment horizontal="center" vertical="center"/>
    </xf>
    <xf numFmtId="192" fontId="5" fillId="3" borderId="5" xfId="10" applyNumberFormat="1" applyFont="1" applyFill="1" applyBorder="1" applyAlignment="1" applyProtection="1">
      <alignment horizontal="center" vertical="center"/>
    </xf>
    <xf numFmtId="165" fontId="5" fillId="3" borderId="16" xfId="10" applyNumberFormat="1" applyFont="1" applyFill="1" applyBorder="1" applyAlignment="1" applyProtection="1">
      <alignment horizontal="center" vertical="center"/>
    </xf>
    <xf numFmtId="165" fontId="5" fillId="3" borderId="5" xfId="10" applyNumberFormat="1" applyFont="1" applyFill="1" applyBorder="1" applyAlignment="1" applyProtection="1">
      <alignment horizontal="center" vertical="center"/>
    </xf>
    <xf numFmtId="164" fontId="5" fillId="3" borderId="16" xfId="10" applyNumberFormat="1" applyFont="1" applyFill="1" applyBorder="1" applyAlignment="1" applyProtection="1">
      <alignment horizontal="center" vertical="center"/>
    </xf>
    <xf numFmtId="164" fontId="13" fillId="6" borderId="16" xfId="10" applyNumberFormat="1" applyFont="1" applyFill="1" applyBorder="1" applyAlignment="1" applyProtection="1">
      <alignment horizontal="center" vertical="center"/>
    </xf>
    <xf numFmtId="0" fontId="5" fillId="3" borderId="5" xfId="10" applyFont="1" applyFill="1" applyBorder="1" applyAlignment="1" applyProtection="1">
      <alignment horizontal="center" vertical="center"/>
    </xf>
    <xf numFmtId="49" fontId="5" fillId="0" borderId="5" xfId="10" applyNumberFormat="1" applyFont="1" applyFill="1" applyBorder="1" applyAlignment="1" applyProtection="1">
      <alignment horizontal="left"/>
    </xf>
    <xf numFmtId="4" fontId="5" fillId="0" borderId="5" xfId="10" applyNumberFormat="1" applyFont="1" applyFill="1" applyBorder="1" applyAlignment="1" applyProtection="1">
      <alignment horizontal="center"/>
    </xf>
    <xf numFmtId="165" fontId="5" fillId="0" borderId="5" xfId="10" applyNumberFormat="1" applyFont="1" applyFill="1" applyBorder="1" applyAlignment="1" applyProtection="1">
      <alignment horizontal="center"/>
    </xf>
    <xf numFmtId="164" fontId="5" fillId="0" borderId="5" xfId="10" applyNumberFormat="1" applyFont="1" applyFill="1" applyBorder="1" applyAlignment="1" applyProtection="1">
      <alignment horizontal="center"/>
    </xf>
    <xf numFmtId="2" fontId="5" fillId="0" borderId="5" xfId="10" applyNumberFormat="1" applyFont="1" applyFill="1" applyBorder="1" applyAlignment="1" applyProtection="1">
      <alignment horizontal="center"/>
    </xf>
    <xf numFmtId="165" fontId="5" fillId="3" borderId="5" xfId="10" applyNumberFormat="1" applyFont="1" applyFill="1" applyBorder="1" applyAlignment="1" applyProtection="1">
      <alignment horizontal="center"/>
    </xf>
    <xf numFmtId="1" fontId="5" fillId="0" borderId="5" xfId="10" applyNumberFormat="1" applyFont="1" applyFill="1" applyBorder="1" applyAlignment="1" applyProtection="1">
      <alignment horizontal="center"/>
    </xf>
    <xf numFmtId="3" fontId="5" fillId="0" borderId="5" xfId="10" applyNumberFormat="1" applyFont="1" applyFill="1" applyBorder="1" applyAlignment="1" applyProtection="1">
      <alignment horizontal="center"/>
    </xf>
    <xf numFmtId="3" fontId="16" fillId="0" borderId="0" xfId="10" applyNumberFormat="1" applyProtection="1">
      <protection locked="0"/>
    </xf>
    <xf numFmtId="0" fontId="0" fillId="4" borderId="0" xfId="0" applyFill="1"/>
    <xf numFmtId="0" fontId="42" fillId="3" borderId="0" xfId="10" applyFont="1" applyFill="1" applyAlignment="1" applyProtection="1">
      <alignment vertical="center"/>
      <protection locked="0"/>
    </xf>
    <xf numFmtId="0" fontId="16" fillId="0" borderId="0" xfId="10"/>
    <xf numFmtId="165" fontId="5" fillId="0" borderId="5" xfId="10" applyNumberFormat="1" applyFont="1" applyFill="1" applyBorder="1" applyAlignment="1" applyProtection="1">
      <alignment horizontal="center" vertical="center"/>
    </xf>
    <xf numFmtId="4" fontId="5" fillId="0" borderId="5" xfId="10" applyNumberFormat="1" applyFont="1" applyFill="1" applyBorder="1" applyAlignment="1" applyProtection="1">
      <alignment horizontal="center" vertical="center"/>
    </xf>
    <xf numFmtId="164" fontId="5" fillId="0" borderId="5" xfId="12" applyNumberFormat="1" applyFont="1" applyFill="1" applyBorder="1" applyAlignment="1" applyProtection="1">
      <alignment horizontal="center"/>
    </xf>
    <xf numFmtId="4" fontId="5" fillId="0" borderId="5" xfId="12" applyNumberFormat="1" applyFont="1" applyFill="1" applyBorder="1" applyAlignment="1" applyProtection="1">
      <alignment horizontal="center" vertical="center"/>
    </xf>
    <xf numFmtId="49" fontId="5" fillId="3" borderId="5" xfId="10" applyNumberFormat="1" applyFont="1" applyFill="1" applyBorder="1" applyAlignment="1" applyProtection="1">
      <alignment horizontal="left"/>
    </xf>
    <xf numFmtId="49" fontId="0" fillId="3" borderId="5" xfId="10" applyNumberFormat="1" applyFont="1" applyFill="1" applyBorder="1" applyAlignment="1" applyProtection="1">
      <alignment horizontal="left"/>
    </xf>
    <xf numFmtId="49" fontId="0" fillId="3" borderId="5" xfId="10" applyNumberFormat="1" applyFont="1" applyFill="1" applyBorder="1" applyAlignment="1" applyProtection="1">
      <alignment horizontal="left" wrapText="1"/>
    </xf>
    <xf numFmtId="0" fontId="42" fillId="4" borderId="0" xfId="10" applyFont="1" applyFill="1" applyProtection="1"/>
    <xf numFmtId="0" fontId="16" fillId="4" borderId="0" xfId="10" applyFill="1" applyProtection="1"/>
    <xf numFmtId="0" fontId="0" fillId="0" borderId="0" xfId="0" applyProtection="1"/>
    <xf numFmtId="0" fontId="16" fillId="0" borderId="0" xfId="10" applyProtection="1"/>
    <xf numFmtId="0" fontId="5" fillId="0" borderId="0" xfId="10" applyFont="1" applyProtection="1"/>
    <xf numFmtId="49" fontId="5" fillId="0" borderId="5" xfId="10" applyNumberFormat="1" applyFont="1" applyFill="1" applyBorder="1" applyAlignment="1" applyProtection="1">
      <alignment horizontal="left" vertical="center"/>
    </xf>
    <xf numFmtId="49" fontId="5" fillId="3" borderId="29" xfId="10" applyNumberFormat="1" applyFont="1" applyFill="1" applyBorder="1" applyAlignment="1" applyProtection="1">
      <alignment horizontal="left" vertical="center"/>
    </xf>
    <xf numFmtId="49" fontId="5" fillId="3" borderId="29" xfId="10" applyNumberFormat="1" applyFont="1" applyFill="1" applyBorder="1" applyAlignment="1" applyProtection="1">
      <alignment horizontal="right" vertical="center"/>
    </xf>
    <xf numFmtId="49" fontId="0" fillId="3" borderId="29" xfId="10" applyNumberFormat="1" applyFont="1" applyFill="1" applyBorder="1" applyAlignment="1" applyProtection="1">
      <alignment horizontal="left" vertical="center"/>
    </xf>
    <xf numFmtId="49" fontId="0" fillId="3" borderId="29" xfId="10" applyNumberFormat="1" applyFont="1" applyFill="1" applyBorder="1" applyAlignment="1" applyProtection="1">
      <alignment horizontal="right" vertical="center"/>
    </xf>
    <xf numFmtId="49" fontId="5" fillId="0" borderId="29" xfId="10" applyNumberFormat="1" applyFont="1" applyFill="1" applyBorder="1" applyAlignment="1" applyProtection="1">
      <alignment horizontal="left" vertical="center"/>
    </xf>
    <xf numFmtId="4" fontId="5" fillId="0" borderId="29" xfId="10" applyNumberFormat="1" applyFont="1" applyFill="1" applyBorder="1" applyAlignment="1" applyProtection="1">
      <alignment horizontal="right" vertical="center"/>
    </xf>
    <xf numFmtId="49" fontId="5" fillId="0" borderId="29" xfId="10" applyNumberFormat="1" applyFont="1" applyFill="1" applyBorder="1" applyAlignment="1" applyProtection="1">
      <alignment horizontal="right" vertical="center"/>
    </xf>
    <xf numFmtId="0" fontId="42" fillId="0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49" fontId="13" fillId="6" borderId="33" xfId="0" applyNumberFormat="1" applyFont="1" applyFill="1" applyBorder="1" applyAlignment="1" applyProtection="1">
      <alignment horizontal="left" vertical="center"/>
    </xf>
    <xf numFmtId="49" fontId="13" fillId="6" borderId="37" xfId="0" applyNumberFormat="1" applyFont="1" applyFill="1" applyBorder="1" applyAlignment="1" applyProtection="1">
      <alignment horizontal="center" vertical="center"/>
    </xf>
    <xf numFmtId="0" fontId="13" fillId="6" borderId="37" xfId="0" applyFont="1" applyFill="1" applyBorder="1" applyAlignment="1" applyProtection="1">
      <alignment horizontal="center" vertical="center"/>
    </xf>
    <xf numFmtId="49" fontId="13" fillId="6" borderId="30" xfId="0" applyNumberFormat="1" applyFont="1" applyFill="1" applyBorder="1" applyAlignment="1" applyProtection="1">
      <alignment horizontal="center" vertical="center"/>
    </xf>
    <xf numFmtId="49" fontId="13" fillId="6" borderId="33" xfId="0" applyNumberFormat="1" applyFont="1" applyFill="1" applyBorder="1" applyAlignment="1" applyProtection="1">
      <alignment horizontal="center" vertical="center"/>
    </xf>
    <xf numFmtId="0" fontId="14" fillId="6" borderId="33" xfId="0" applyFont="1" applyFill="1" applyBorder="1" applyAlignment="1" applyProtection="1">
      <alignment horizontal="left" vertical="center" wrapText="1"/>
    </xf>
    <xf numFmtId="0" fontId="14" fillId="6" borderId="37" xfId="0" applyFont="1" applyFill="1" applyBorder="1" applyAlignment="1" applyProtection="1">
      <alignment horizontal="center" vertical="center" wrapText="1"/>
    </xf>
    <xf numFmtId="0" fontId="14" fillId="6" borderId="30" xfId="0" applyFont="1" applyFill="1" applyBorder="1" applyAlignment="1" applyProtection="1">
      <alignment horizontal="center" vertical="center" wrapText="1"/>
    </xf>
    <xf numFmtId="0" fontId="42" fillId="4" borderId="0" xfId="0" applyFont="1" applyFill="1" applyAlignment="1" applyProtection="1">
      <alignment vertical="center"/>
      <protection locked="0"/>
    </xf>
    <xf numFmtId="4" fontId="0" fillId="0" borderId="0" xfId="0" applyNumberFormat="1" applyFont="1" applyFill="1" applyBorder="1" applyAlignment="1" applyProtection="1">
      <alignment horizontal="center" vertical="center"/>
    </xf>
    <xf numFmtId="4" fontId="0" fillId="0" borderId="32" xfId="0" applyNumberFormat="1" applyFont="1" applyFill="1" applyBorder="1" applyAlignment="1" applyProtection="1">
      <alignment horizontal="center" vertical="center"/>
    </xf>
    <xf numFmtId="4" fontId="8" fillId="0" borderId="30" xfId="0" applyNumberFormat="1" applyFont="1" applyFill="1" applyBorder="1" applyAlignment="1" applyProtection="1">
      <alignment horizontal="center" vertical="center"/>
    </xf>
    <xf numFmtId="2" fontId="0" fillId="0" borderId="32" xfId="0" applyNumberFormat="1" applyFont="1" applyFill="1" applyBorder="1" applyAlignment="1" applyProtection="1">
      <alignment horizontal="center" vertical="center"/>
    </xf>
    <xf numFmtId="4" fontId="0" fillId="0" borderId="20" xfId="0" applyNumberFormat="1" applyFont="1" applyFill="1" applyBorder="1" applyAlignment="1" applyProtection="1">
      <alignment horizontal="center" vertical="center"/>
    </xf>
    <xf numFmtId="4" fontId="0" fillId="0" borderId="38" xfId="0" applyNumberFormat="1" applyFont="1" applyFill="1" applyBorder="1" applyAlignment="1" applyProtection="1">
      <alignment horizontal="center" vertical="center"/>
    </xf>
    <xf numFmtId="49" fontId="8" fillId="0" borderId="41" xfId="0" applyNumberFormat="1" applyFont="1" applyFill="1" applyBorder="1" applyAlignment="1" applyProtection="1">
      <alignment horizontal="left" vertical="center"/>
    </xf>
    <xf numFmtId="3" fontId="8" fillId="0" borderId="4" xfId="0" applyNumberFormat="1" applyFont="1" applyFill="1" applyBorder="1" applyAlignment="1" applyProtection="1">
      <alignment horizontal="center" vertical="center"/>
    </xf>
    <xf numFmtId="4" fontId="8" fillId="0" borderId="42" xfId="0" applyNumberFormat="1" applyFont="1" applyFill="1" applyBorder="1" applyAlignment="1" applyProtection="1">
      <alignment horizontal="center" vertical="center"/>
    </xf>
    <xf numFmtId="3" fontId="8" fillId="0" borderId="20" xfId="0" applyNumberFormat="1" applyFont="1" applyFill="1" applyBorder="1" applyAlignment="1" applyProtection="1">
      <alignment horizontal="center" vertical="center"/>
    </xf>
    <xf numFmtId="49" fontId="0" fillId="0" borderId="31" xfId="0" applyNumberFormat="1" applyFont="1" applyFill="1" applyBorder="1" applyAlignment="1" applyProtection="1">
      <alignment horizontal="center" vertical="center"/>
    </xf>
    <xf numFmtId="191" fontId="0" fillId="0" borderId="0" xfId="0" applyNumberFormat="1" applyFont="1" applyFill="1" applyBorder="1" applyAlignment="1" applyProtection="1">
      <alignment horizontal="center" vertical="center"/>
    </xf>
    <xf numFmtId="3" fontId="0" fillId="0" borderId="0" xfId="0" applyNumberFormat="1" applyFont="1" applyFill="1" applyBorder="1" applyAlignment="1" applyProtection="1">
      <alignment horizontal="center" vertical="center"/>
    </xf>
    <xf numFmtId="49" fontId="0" fillId="0" borderId="21" xfId="0" applyNumberFormat="1" applyFont="1" applyFill="1" applyBorder="1" applyAlignment="1" applyProtection="1">
      <alignment horizontal="center" vertical="center"/>
    </xf>
    <xf numFmtId="191" fontId="0" fillId="0" borderId="20" xfId="0" applyNumberFormat="1" applyFont="1" applyFill="1" applyBorder="1" applyAlignment="1" applyProtection="1">
      <alignment horizontal="center" vertical="center"/>
    </xf>
    <xf numFmtId="3" fontId="0" fillId="0" borderId="20" xfId="0" applyNumberFormat="1" applyFont="1" applyFill="1" applyBorder="1" applyAlignment="1" applyProtection="1">
      <alignment horizontal="center" vertical="center"/>
    </xf>
    <xf numFmtId="49" fontId="8" fillId="0" borderId="43" xfId="0" applyNumberFormat="1" applyFont="1" applyFill="1" applyBorder="1" applyAlignment="1" applyProtection="1">
      <alignment horizontal="center" vertical="center"/>
    </xf>
    <xf numFmtId="0" fontId="0" fillId="0" borderId="40" xfId="0" applyFont="1" applyFill="1" applyBorder="1" applyAlignment="1" applyProtection="1">
      <alignment horizontal="center" vertical="center"/>
    </xf>
    <xf numFmtId="49" fontId="8" fillId="0" borderId="44" xfId="0" applyNumberFormat="1" applyFont="1" applyFill="1" applyBorder="1" applyAlignment="1" applyProtection="1">
      <alignment horizontal="left" vertical="center"/>
    </xf>
    <xf numFmtId="1" fontId="8" fillId="0" borderId="45" xfId="0" applyNumberFormat="1" applyFont="1" applyFill="1" applyBorder="1" applyAlignment="1" applyProtection="1">
      <alignment horizontal="center" vertical="center"/>
    </xf>
    <xf numFmtId="49" fontId="8" fillId="0" borderId="33" xfId="0" applyNumberFormat="1" applyFont="1" applyFill="1" applyBorder="1" applyAlignment="1" applyProtection="1">
      <alignment horizontal="left" vertical="center"/>
    </xf>
    <xf numFmtId="1" fontId="8" fillId="0" borderId="37" xfId="0" applyNumberFormat="1" applyFont="1" applyFill="1" applyBorder="1" applyAlignment="1" applyProtection="1">
      <alignment horizontal="center" vertical="center"/>
    </xf>
    <xf numFmtId="4" fontId="8" fillId="0" borderId="37" xfId="0" applyNumberFormat="1" applyFont="1" applyFill="1" applyBorder="1" applyAlignment="1" applyProtection="1">
      <alignment horizontal="center" vertical="center"/>
    </xf>
    <xf numFmtId="3" fontId="7" fillId="0" borderId="20" xfId="0" applyNumberFormat="1" applyFont="1" applyFill="1" applyBorder="1" applyAlignment="1" applyProtection="1">
      <alignment horizontal="center" vertical="center"/>
    </xf>
    <xf numFmtId="0" fontId="0" fillId="0" borderId="31" xfId="0" applyFont="1" applyFill="1" applyBorder="1" applyAlignment="1" applyProtection="1">
      <alignment vertical="center"/>
    </xf>
    <xf numFmtId="10" fontId="0" fillId="0" borderId="32" xfId="0" applyNumberFormat="1" applyFont="1" applyFill="1" applyBorder="1" applyAlignment="1" applyProtection="1">
      <alignment horizontal="center" vertical="center"/>
    </xf>
    <xf numFmtId="0" fontId="7" fillId="0" borderId="21" xfId="0" applyFont="1" applyFill="1" applyBorder="1" applyAlignment="1" applyProtection="1">
      <alignment horizontal="left" vertical="center"/>
    </xf>
    <xf numFmtId="10" fontId="7" fillId="0" borderId="38" xfId="0" applyNumberFormat="1" applyFont="1" applyFill="1" applyBorder="1" applyAlignment="1" applyProtection="1">
      <alignment horizontal="center" vertical="center"/>
    </xf>
    <xf numFmtId="0" fontId="0" fillId="0" borderId="21" xfId="0" applyFont="1" applyFill="1" applyBorder="1" applyAlignment="1" applyProtection="1">
      <alignment vertical="center"/>
    </xf>
    <xf numFmtId="10" fontId="0" fillId="0" borderId="38" xfId="0" applyNumberFormat="1" applyFont="1" applyFill="1" applyBorder="1" applyAlignment="1" applyProtection="1">
      <alignment horizontal="center" vertical="center"/>
    </xf>
    <xf numFmtId="169" fontId="5" fillId="0" borderId="5" xfId="10" applyNumberFormat="1" applyFont="1" applyFill="1" applyBorder="1" applyAlignment="1" applyProtection="1">
      <alignment horizontal="center" vertical="center"/>
    </xf>
    <xf numFmtId="49" fontId="0" fillId="0" borderId="5" xfId="10" applyNumberFormat="1" applyFont="1" applyFill="1" applyBorder="1" applyAlignment="1" applyProtection="1">
      <alignment horizontal="left"/>
    </xf>
    <xf numFmtId="4" fontId="13" fillId="6" borderId="16" xfId="10" applyNumberFormat="1" applyFont="1" applyFill="1" applyBorder="1" applyAlignment="1" applyProtection="1">
      <alignment horizontal="center" vertical="center"/>
    </xf>
    <xf numFmtId="165" fontId="8" fillId="0" borderId="5" xfId="10" applyNumberFormat="1" applyFont="1" applyFill="1" applyBorder="1" applyAlignment="1" applyProtection="1">
      <alignment horizontal="center" vertical="center"/>
    </xf>
    <xf numFmtId="4" fontId="8" fillId="0" borderId="5" xfId="10" applyNumberFormat="1" applyFont="1" applyFill="1" applyBorder="1" applyAlignment="1" applyProtection="1">
      <alignment horizontal="center" vertical="center"/>
    </xf>
    <xf numFmtId="3" fontId="8" fillId="0" borderId="5" xfId="10" applyNumberFormat="1" applyFont="1" applyFill="1" applyBorder="1" applyAlignment="1" applyProtection="1">
      <alignment horizontal="center" vertical="center"/>
    </xf>
    <xf numFmtId="3" fontId="8" fillId="0" borderId="5" xfId="10" applyNumberFormat="1" applyFont="1" applyFill="1" applyBorder="1" applyAlignment="1" applyProtection="1">
      <alignment horizontal="center"/>
    </xf>
    <xf numFmtId="164" fontId="8" fillId="0" borderId="5" xfId="12" applyNumberFormat="1" applyFont="1" applyFill="1" applyBorder="1" applyAlignment="1" applyProtection="1">
      <alignment horizontal="center"/>
    </xf>
    <xf numFmtId="4" fontId="8" fillId="0" borderId="5" xfId="12" applyNumberFormat="1" applyFont="1" applyFill="1" applyBorder="1" applyAlignment="1" applyProtection="1">
      <alignment horizontal="center" vertical="center"/>
    </xf>
    <xf numFmtId="1" fontId="6" fillId="2" borderId="0" xfId="2" applyFont="1" applyFill="1" applyBorder="1" applyProtection="1"/>
    <xf numFmtId="164" fontId="5" fillId="2" borderId="0" xfId="2" applyNumberFormat="1" applyFont="1" applyFill="1" applyBorder="1" applyProtection="1"/>
    <xf numFmtId="1" fontId="5" fillId="2" borderId="0" xfId="2" applyFont="1" applyFill="1" applyBorder="1" applyAlignment="1" applyProtection="1">
      <alignment horizontal="right"/>
    </xf>
    <xf numFmtId="1" fontId="48" fillId="6" borderId="3" xfId="2" applyFont="1" applyFill="1" applyBorder="1" applyAlignment="1" applyProtection="1">
      <alignment vertical="center"/>
    </xf>
    <xf numFmtId="164" fontId="48" fillId="6" borderId="3" xfId="2" applyNumberFormat="1" applyFont="1" applyFill="1" applyBorder="1" applyAlignment="1" applyProtection="1">
      <alignment horizontal="center" vertical="center"/>
    </xf>
    <xf numFmtId="1" fontId="48" fillId="6" borderId="3" xfId="2" applyFont="1" applyFill="1" applyBorder="1" applyAlignment="1" applyProtection="1">
      <alignment horizontal="center" vertical="center"/>
    </xf>
    <xf numFmtId="1" fontId="7" fillId="0" borderId="3" xfId="2" applyFont="1" applyFill="1" applyBorder="1" applyAlignment="1" applyProtection="1">
      <alignment vertical="center"/>
    </xf>
    <xf numFmtId="164" fontId="7" fillId="0" borderId="3" xfId="2" applyNumberFormat="1" applyFont="1" applyFill="1" applyBorder="1" applyAlignment="1" applyProtection="1">
      <alignment horizontal="center" vertical="center"/>
    </xf>
    <xf numFmtId="10" fontId="7" fillId="0" borderId="3" xfId="1" applyNumberFormat="1" applyFont="1" applyFill="1" applyBorder="1" applyAlignment="1" applyProtection="1">
      <alignment horizontal="center" vertical="center"/>
    </xf>
    <xf numFmtId="1" fontId="5" fillId="0" borderId="3" xfId="2" applyFont="1" applyFill="1" applyBorder="1" applyAlignment="1" applyProtection="1">
      <alignment vertical="center"/>
    </xf>
    <xf numFmtId="164" fontId="5" fillId="0" borderId="3" xfId="2" applyNumberFormat="1" applyFont="1" applyFill="1" applyBorder="1" applyAlignment="1" applyProtection="1">
      <alignment horizontal="center" vertical="center"/>
    </xf>
    <xf numFmtId="10" fontId="5" fillId="0" borderId="3" xfId="1" applyNumberFormat="1" applyFont="1" applyFill="1" applyBorder="1" applyAlignment="1" applyProtection="1">
      <alignment horizontal="center" vertical="center"/>
    </xf>
    <xf numFmtId="1" fontId="0" fillId="0" borderId="3" xfId="2" applyFont="1" applyFill="1" applyBorder="1" applyAlignment="1" applyProtection="1">
      <alignment vertical="center"/>
    </xf>
    <xf numFmtId="1" fontId="11" fillId="0" borderId="3" xfId="2" applyFont="1" applyFill="1" applyBorder="1" applyAlignment="1" applyProtection="1">
      <alignment vertical="center"/>
    </xf>
    <xf numFmtId="164" fontId="11" fillId="0" borderId="3" xfId="2" applyNumberFormat="1" applyFont="1" applyFill="1" applyBorder="1" applyAlignment="1" applyProtection="1">
      <alignment horizontal="center" vertical="center"/>
    </xf>
    <xf numFmtId="10" fontId="11" fillId="0" borderId="3" xfId="1" applyNumberFormat="1" applyFont="1" applyFill="1" applyBorder="1" applyAlignment="1" applyProtection="1">
      <alignment horizontal="center" vertical="center"/>
    </xf>
    <xf numFmtId="10" fontId="10" fillId="0" borderId="3" xfId="1" applyNumberFormat="1" applyFont="1" applyFill="1" applyBorder="1" applyAlignment="1" applyProtection="1">
      <alignment horizontal="center" vertical="center"/>
    </xf>
    <xf numFmtId="1" fontId="0" fillId="0" borderId="3" xfId="2" applyFont="1" applyFill="1" applyBorder="1" applyAlignment="1" applyProtection="1">
      <alignment vertical="center" wrapText="1"/>
    </xf>
    <xf numFmtId="1" fontId="0" fillId="0" borderId="29" xfId="2" applyFont="1" applyFill="1" applyBorder="1" applyAlignment="1" applyProtection="1">
      <alignment vertical="center" wrapText="1"/>
    </xf>
    <xf numFmtId="164" fontId="5" fillId="0" borderId="29" xfId="2" applyNumberFormat="1" applyFont="1" applyFill="1" applyBorder="1" applyAlignment="1" applyProtection="1">
      <alignment horizontal="center" vertical="center"/>
    </xf>
    <xf numFmtId="1" fontId="0" fillId="0" borderId="29" xfId="2" applyFont="1" applyFill="1" applyBorder="1" applyAlignment="1" applyProtection="1">
      <alignment vertical="center"/>
    </xf>
    <xf numFmtId="164" fontId="11" fillId="0" borderId="29" xfId="2" applyNumberFormat="1" applyFont="1" applyFill="1" applyBorder="1" applyAlignment="1" applyProtection="1">
      <alignment horizontal="center" vertical="center"/>
    </xf>
    <xf numFmtId="1" fontId="1" fillId="0" borderId="3" xfId="2" applyFont="1" applyFill="1" applyBorder="1" applyAlignment="1" applyProtection="1">
      <alignment vertical="center" wrapText="1"/>
    </xf>
    <xf numFmtId="10" fontId="1" fillId="0" borderId="3" xfId="1" applyNumberFormat="1" applyFont="1" applyFill="1" applyBorder="1" applyAlignment="1" applyProtection="1">
      <alignment horizontal="center" vertical="center"/>
    </xf>
    <xf numFmtId="1" fontId="7" fillId="0" borderId="29" xfId="2" applyFont="1" applyFill="1" applyBorder="1" applyAlignment="1" applyProtection="1">
      <alignment vertical="center"/>
    </xf>
    <xf numFmtId="1" fontId="7" fillId="0" borderId="3" xfId="2" applyFont="1" applyFill="1" applyBorder="1" applyAlignment="1" applyProtection="1">
      <alignment vertical="center" wrapText="1"/>
    </xf>
    <xf numFmtId="10" fontId="7" fillId="0" borderId="29" xfId="1" applyNumberFormat="1" applyFont="1" applyFill="1" applyBorder="1" applyAlignment="1" applyProtection="1">
      <alignment horizontal="center" vertical="center"/>
    </xf>
    <xf numFmtId="1" fontId="1" fillId="0" borderId="29" xfId="2" applyFont="1" applyFill="1" applyBorder="1" applyAlignment="1" applyProtection="1">
      <alignment vertical="center"/>
    </xf>
    <xf numFmtId="1" fontId="1" fillId="0" borderId="3" xfId="2" applyFont="1" applyFill="1" applyBorder="1" applyAlignment="1" applyProtection="1">
      <alignment vertical="center"/>
    </xf>
    <xf numFmtId="10" fontId="1" fillId="0" borderId="29" xfId="1" applyNumberFormat="1" applyFont="1" applyFill="1" applyBorder="1" applyAlignment="1" applyProtection="1">
      <alignment horizontal="center" vertical="center"/>
    </xf>
    <xf numFmtId="1" fontId="48" fillId="6" borderId="3" xfId="2" applyFont="1" applyFill="1" applyBorder="1" applyAlignment="1" applyProtection="1">
      <alignment horizontal="left" vertical="center" wrapText="1"/>
    </xf>
    <xf numFmtId="49" fontId="13" fillId="6" borderId="29" xfId="10" applyNumberFormat="1" applyFont="1" applyFill="1" applyBorder="1" applyAlignment="1" applyProtection="1">
      <alignment horizontal="left"/>
    </xf>
    <xf numFmtId="49" fontId="13" fillId="6" borderId="29" xfId="10" applyNumberFormat="1" applyFont="1" applyFill="1" applyBorder="1" applyAlignment="1" applyProtection="1">
      <alignment horizontal="center"/>
    </xf>
    <xf numFmtId="49" fontId="0" fillId="3" borderId="29" xfId="10" applyNumberFormat="1" applyFont="1" applyFill="1" applyBorder="1" applyAlignment="1" applyProtection="1">
      <alignment horizontal="left"/>
    </xf>
    <xf numFmtId="49" fontId="5" fillId="3" borderId="29" xfId="10" applyNumberFormat="1" applyFont="1" applyFill="1" applyBorder="1" applyAlignment="1" applyProtection="1">
      <alignment horizontal="left"/>
    </xf>
    <xf numFmtId="49" fontId="5" fillId="0" borderId="29" xfId="10" applyNumberFormat="1" applyFont="1" applyFill="1" applyBorder="1" applyAlignment="1" applyProtection="1">
      <alignment horizontal="left"/>
    </xf>
    <xf numFmtId="49" fontId="5" fillId="0" borderId="29" xfId="10" applyNumberFormat="1" applyFont="1" applyFill="1" applyBorder="1" applyAlignment="1" applyProtection="1">
      <alignment horizontal="left" wrapText="1"/>
    </xf>
    <xf numFmtId="49" fontId="0" fillId="0" borderId="29" xfId="10" applyNumberFormat="1" applyFont="1" applyFill="1" applyBorder="1" applyAlignment="1" applyProtection="1">
      <alignment horizontal="left" vertical="center" wrapText="1"/>
    </xf>
    <xf numFmtId="49" fontId="0" fillId="0" borderId="29" xfId="10" applyNumberFormat="1" applyFont="1" applyFill="1" applyBorder="1" applyAlignment="1" applyProtection="1">
      <alignment horizontal="left" vertical="center"/>
    </xf>
    <xf numFmtId="49" fontId="5" fillId="0" borderId="29" xfId="10" applyNumberFormat="1" applyFont="1" applyFill="1" applyBorder="1" applyAlignment="1" applyProtection="1">
      <alignment horizontal="left" vertical="center" wrapText="1"/>
    </xf>
    <xf numFmtId="2" fontId="5" fillId="0" borderId="29" xfId="10" applyNumberFormat="1" applyFont="1" applyFill="1" applyBorder="1" applyAlignment="1" applyProtection="1">
      <alignment horizontal="center" vertical="center" wrapText="1"/>
    </xf>
    <xf numFmtId="0" fontId="5" fillId="0" borderId="29" xfId="10" applyFont="1" applyFill="1" applyBorder="1" applyAlignment="1" applyProtection="1">
      <alignment horizontal="center" vertical="center" wrapText="1"/>
    </xf>
    <xf numFmtId="165" fontId="5" fillId="3" borderId="29" xfId="10" applyNumberFormat="1" applyFont="1" applyFill="1" applyBorder="1" applyAlignment="1" applyProtection="1">
      <alignment horizontal="center"/>
    </xf>
    <xf numFmtId="49" fontId="5" fillId="3" borderId="29" xfId="10" applyNumberFormat="1" applyFont="1" applyFill="1" applyBorder="1" applyAlignment="1" applyProtection="1">
      <alignment horizontal="center"/>
    </xf>
    <xf numFmtId="49" fontId="0" fillId="3" borderId="29" xfId="10" applyNumberFormat="1" applyFont="1" applyFill="1" applyBorder="1" applyAlignment="1" applyProtection="1">
      <alignment horizontal="center"/>
    </xf>
    <xf numFmtId="3" fontId="5" fillId="3" borderId="29" xfId="10" applyNumberFormat="1" applyFont="1" applyFill="1" applyBorder="1" applyAlignment="1" applyProtection="1">
      <alignment horizontal="center"/>
    </xf>
    <xf numFmtId="1" fontId="5" fillId="0" borderId="29" xfId="10" applyNumberFormat="1" applyFont="1" applyFill="1" applyBorder="1" applyAlignment="1" applyProtection="1">
      <alignment horizontal="center"/>
    </xf>
    <xf numFmtId="49" fontId="5" fillId="0" borderId="29" xfId="10" applyNumberFormat="1" applyFont="1" applyFill="1" applyBorder="1" applyAlignment="1" applyProtection="1">
      <alignment horizontal="center"/>
    </xf>
    <xf numFmtId="1" fontId="5" fillId="0" borderId="29" xfId="10" applyNumberFormat="1" applyFont="1" applyFill="1" applyBorder="1" applyAlignment="1" applyProtection="1">
      <alignment horizontal="center" vertical="center"/>
    </xf>
    <xf numFmtId="169" fontId="5" fillId="0" borderId="29" xfId="10" applyNumberFormat="1" applyFont="1" applyFill="1" applyBorder="1" applyAlignment="1" applyProtection="1">
      <alignment horizontal="center" vertical="center"/>
    </xf>
    <xf numFmtId="169" fontId="5" fillId="0" borderId="29" xfId="10" applyNumberFormat="1" applyFont="1" applyFill="1" applyBorder="1" applyAlignment="1" applyProtection="1">
      <alignment horizontal="center"/>
    </xf>
    <xf numFmtId="0" fontId="5" fillId="0" borderId="29" xfId="10" applyFont="1" applyFill="1" applyBorder="1" applyAlignment="1" applyProtection="1">
      <alignment horizontal="center" vertical="center"/>
    </xf>
    <xf numFmtId="164" fontId="5" fillId="3" borderId="29" xfId="10" applyNumberFormat="1" applyFont="1" applyFill="1" applyBorder="1" applyAlignment="1" applyProtection="1">
      <alignment horizontal="center"/>
    </xf>
    <xf numFmtId="0" fontId="5" fillId="3" borderId="29" xfId="10" applyFont="1" applyFill="1" applyBorder="1" applyAlignment="1" applyProtection="1">
      <alignment horizontal="center"/>
    </xf>
    <xf numFmtId="2" fontId="5" fillId="0" borderId="29" xfId="10" applyNumberFormat="1" applyFont="1" applyFill="1" applyBorder="1" applyAlignment="1" applyProtection="1">
      <alignment horizontal="center" vertical="center"/>
    </xf>
    <xf numFmtId="49" fontId="5" fillId="0" borderId="29" xfId="10" applyNumberFormat="1" applyFont="1" applyFill="1" applyBorder="1" applyAlignment="1" applyProtection="1">
      <alignment horizontal="center" vertical="center" wrapText="1"/>
    </xf>
    <xf numFmtId="49" fontId="5" fillId="0" borderId="29" xfId="10" applyNumberFormat="1" applyFont="1" applyFill="1" applyBorder="1" applyAlignment="1" applyProtection="1">
      <alignment horizontal="center" vertical="center"/>
    </xf>
    <xf numFmtId="164" fontId="5" fillId="0" borderId="29" xfId="10" applyNumberFormat="1" applyFont="1" applyFill="1" applyBorder="1" applyAlignment="1" applyProtection="1">
      <alignment horizontal="center"/>
    </xf>
    <xf numFmtId="2" fontId="5" fillId="0" borderId="29" xfId="10" applyNumberFormat="1" applyFont="1" applyFill="1" applyBorder="1" applyAlignment="1" applyProtection="1">
      <alignment horizontal="center"/>
    </xf>
    <xf numFmtId="0" fontId="5" fillId="0" borderId="29" xfId="10" applyFont="1" applyFill="1" applyBorder="1" applyAlignment="1" applyProtection="1">
      <alignment horizontal="center"/>
    </xf>
    <xf numFmtId="1" fontId="5" fillId="0" borderId="29" xfId="11" applyNumberFormat="1" applyFont="1" applyFill="1" applyBorder="1" applyAlignment="1" applyProtection="1">
      <alignment horizontal="center"/>
    </xf>
    <xf numFmtId="49" fontId="0" fillId="0" borderId="29" xfId="10" applyNumberFormat="1" applyFont="1" applyFill="1" applyBorder="1" applyAlignment="1" applyProtection="1">
      <alignment horizontal="center" vertical="center"/>
    </xf>
    <xf numFmtId="49" fontId="0" fillId="0" borderId="29" xfId="10" applyNumberFormat="1" applyFont="1" applyFill="1" applyBorder="1" applyAlignment="1" applyProtection="1">
      <alignment horizontal="left"/>
    </xf>
    <xf numFmtId="49" fontId="0" fillId="0" borderId="29" xfId="10" applyNumberFormat="1" applyFont="1" applyFill="1" applyBorder="1" applyAlignment="1" applyProtection="1">
      <alignment horizontal="center" vertical="center" wrapText="1"/>
    </xf>
    <xf numFmtId="165" fontId="5" fillId="0" borderId="29" xfId="10" applyNumberFormat="1" applyFont="1" applyFill="1" applyBorder="1" applyAlignment="1" applyProtection="1">
      <alignment horizontal="center"/>
    </xf>
    <xf numFmtId="0" fontId="0" fillId="0" borderId="29" xfId="10" applyFont="1" applyFill="1" applyBorder="1" applyAlignment="1" applyProtection="1">
      <alignment horizontal="center" vertical="center"/>
    </xf>
    <xf numFmtId="49" fontId="13" fillId="6" borderId="5" xfId="10" applyNumberFormat="1" applyFont="1" applyFill="1" applyBorder="1" applyAlignment="1" applyProtection="1">
      <alignment horizontal="left"/>
    </xf>
    <xf numFmtId="2" fontId="13" fillId="6" borderId="5" xfId="10" applyNumberFormat="1" applyFont="1" applyFill="1" applyBorder="1" applyAlignment="1" applyProtection="1">
      <alignment horizontal="center"/>
    </xf>
    <xf numFmtId="0" fontId="13" fillId="6" borderId="5" xfId="10" applyNumberFormat="1" applyFont="1" applyFill="1" applyBorder="1" applyAlignment="1" applyProtection="1">
      <alignment horizontal="center"/>
    </xf>
    <xf numFmtId="2" fontId="5" fillId="3" borderId="5" xfId="10" applyNumberFormat="1" applyFont="1" applyFill="1" applyBorder="1" applyAlignment="1" applyProtection="1">
      <alignment horizontal="center"/>
    </xf>
    <xf numFmtId="0" fontId="0" fillId="3" borderId="5" xfId="10" applyFont="1" applyFill="1" applyBorder="1" applyAlignment="1" applyProtection="1">
      <alignment horizontal="center"/>
    </xf>
    <xf numFmtId="0" fontId="5" fillId="3" borderId="5" xfId="10" applyFont="1" applyFill="1" applyBorder="1" applyAlignment="1" applyProtection="1">
      <alignment horizontal="center"/>
    </xf>
    <xf numFmtId="0" fontId="0" fillId="3" borderId="5" xfId="10" applyFont="1" applyFill="1" applyBorder="1" applyAlignment="1" applyProtection="1">
      <alignment horizontal="center" vertical="center"/>
    </xf>
    <xf numFmtId="49" fontId="0" fillId="3" borderId="5" xfId="10" applyNumberFormat="1" applyFont="1" applyFill="1" applyBorder="1" applyAlignment="1" applyProtection="1">
      <alignment horizontal="center"/>
    </xf>
    <xf numFmtId="49" fontId="50" fillId="0" borderId="31" xfId="0" applyNumberFormat="1" applyFont="1" applyFill="1" applyBorder="1" applyAlignment="1" applyProtection="1">
      <alignment horizontal="left" vertical="center"/>
    </xf>
    <xf numFmtId="0" fontId="49" fillId="0" borderId="0" xfId="0" applyFont="1" applyFill="1" applyBorder="1" applyAlignment="1" applyProtection="1">
      <alignment horizontal="center" vertical="center"/>
    </xf>
    <xf numFmtId="4" fontId="49" fillId="0" borderId="0" xfId="0" applyNumberFormat="1" applyFont="1" applyFill="1" applyBorder="1" applyAlignment="1" applyProtection="1">
      <alignment horizontal="center" vertical="center"/>
    </xf>
    <xf numFmtId="0" fontId="49" fillId="0" borderId="32" xfId="0" applyFont="1" applyFill="1" applyBorder="1" applyAlignment="1" applyProtection="1">
      <alignment horizontal="center" vertical="center"/>
    </xf>
    <xf numFmtId="4" fontId="49" fillId="0" borderId="20" xfId="0" applyNumberFormat="1" applyFont="1" applyFill="1" applyBorder="1" applyAlignment="1" applyProtection="1">
      <alignment horizontal="center" vertical="center"/>
    </xf>
    <xf numFmtId="0" fontId="50" fillId="0" borderId="21" xfId="0" applyFont="1" applyFill="1" applyBorder="1" applyAlignment="1" applyProtection="1">
      <alignment vertical="center"/>
    </xf>
    <xf numFmtId="0" fontId="49" fillId="0" borderId="20" xfId="0" applyFont="1" applyFill="1" applyBorder="1" applyAlignment="1" applyProtection="1">
      <alignment horizontal="center" vertical="center"/>
    </xf>
    <xf numFmtId="4" fontId="50" fillId="0" borderId="20" xfId="0" applyNumberFormat="1" applyFont="1" applyFill="1" applyBorder="1" applyAlignment="1" applyProtection="1">
      <alignment horizontal="center" vertical="center"/>
    </xf>
    <xf numFmtId="3" fontId="49" fillId="0" borderId="0" xfId="0" applyNumberFormat="1" applyFont="1" applyFill="1" applyBorder="1" applyAlignment="1" applyProtection="1">
      <alignment horizontal="center" vertical="center"/>
    </xf>
    <xf numFmtId="4" fontId="50" fillId="0" borderId="0" xfId="0" applyNumberFormat="1" applyFont="1" applyFill="1" applyBorder="1" applyAlignment="1" applyProtection="1">
      <alignment horizontal="center" vertical="center"/>
    </xf>
    <xf numFmtId="0" fontId="50" fillId="0" borderId="32" xfId="0" applyFont="1" applyFill="1" applyBorder="1" applyAlignment="1" applyProtection="1">
      <alignment horizontal="center" vertical="center"/>
    </xf>
    <xf numFmtId="4" fontId="49" fillId="0" borderId="35" xfId="0" applyNumberFormat="1" applyFont="1" applyFill="1" applyBorder="1" applyAlignment="1" applyProtection="1">
      <alignment horizontal="center" vertical="center"/>
    </xf>
    <xf numFmtId="2" fontId="52" fillId="0" borderId="36" xfId="0" applyNumberFormat="1" applyFont="1" applyFill="1" applyBorder="1" applyAlignment="1" applyProtection="1">
      <alignment horizontal="center" vertical="center"/>
    </xf>
    <xf numFmtId="49" fontId="50" fillId="0" borderId="34" xfId="0" applyNumberFormat="1" applyFont="1" applyFill="1" applyBorder="1" applyAlignment="1" applyProtection="1">
      <alignment horizontal="left" vertical="center"/>
    </xf>
    <xf numFmtId="3" fontId="51" fillId="0" borderId="35" xfId="0" applyNumberFormat="1" applyFont="1" applyFill="1" applyBorder="1" applyAlignment="1" applyProtection="1">
      <alignment horizontal="center" vertical="center"/>
    </xf>
    <xf numFmtId="0" fontId="49" fillId="0" borderId="35" xfId="0" applyFont="1" applyFill="1" applyBorder="1" applyAlignment="1" applyProtection="1">
      <alignment horizontal="center" vertical="center"/>
    </xf>
    <xf numFmtId="4" fontId="49" fillId="0" borderId="32" xfId="0" applyNumberFormat="1" applyFont="1" applyFill="1" applyBorder="1" applyAlignment="1" applyProtection="1">
      <alignment horizontal="center" vertical="center"/>
    </xf>
    <xf numFmtId="2" fontId="0" fillId="0" borderId="37" xfId="0" applyNumberFormat="1" applyFont="1" applyFill="1" applyBorder="1" applyAlignment="1" applyProtection="1">
      <alignment horizontal="center" vertical="center"/>
    </xf>
    <xf numFmtId="0" fontId="49" fillId="0" borderId="40" xfId="0" applyFont="1" applyFill="1" applyBorder="1" applyAlignment="1" applyProtection="1">
      <alignment horizontal="center" vertical="center"/>
    </xf>
    <xf numFmtId="0" fontId="49" fillId="0" borderId="0" xfId="0" applyFont="1" applyFill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3" fontId="50" fillId="0" borderId="0" xfId="0" applyNumberFormat="1" applyFont="1" applyFill="1" applyBorder="1" applyAlignment="1" applyProtection="1">
      <alignment horizontal="center" vertical="center"/>
    </xf>
    <xf numFmtId="0" fontId="49" fillId="0" borderId="0" xfId="0" applyFont="1" applyFill="1" applyAlignment="1" applyProtection="1">
      <alignment vertical="center"/>
    </xf>
    <xf numFmtId="3" fontId="50" fillId="0" borderId="0" xfId="0" applyNumberFormat="1" applyFont="1" applyFill="1" applyAlignment="1" applyProtection="1">
      <alignment horizontal="center" vertical="center"/>
    </xf>
    <xf numFmtId="49" fontId="8" fillId="0" borderId="0" xfId="0" applyNumberFormat="1" applyFont="1" applyFill="1" applyAlignment="1" applyProtection="1">
      <alignment horizontal="left" vertical="center"/>
    </xf>
    <xf numFmtId="3" fontId="5" fillId="0" borderId="0" xfId="0" applyNumberFormat="1" applyFont="1" applyFill="1" applyBorder="1" applyAlignment="1" applyProtection="1">
      <alignment horizontal="center" vertical="center"/>
    </xf>
    <xf numFmtId="3" fontId="5" fillId="0" borderId="20" xfId="0" applyNumberFormat="1" applyFont="1" applyFill="1" applyBorder="1" applyAlignment="1" applyProtection="1">
      <alignment horizontal="center" vertical="center"/>
    </xf>
    <xf numFmtId="2" fontId="8" fillId="0" borderId="5" xfId="10" applyNumberFormat="1" applyFont="1" applyFill="1" applyBorder="1" applyAlignment="1" applyProtection="1">
      <alignment horizontal="center" vertical="center"/>
    </xf>
    <xf numFmtId="49" fontId="13" fillId="6" borderId="5" xfId="10" applyNumberFormat="1" applyFont="1" applyFill="1" applyBorder="1" applyAlignment="1" applyProtection="1">
      <alignment horizontal="left" vertical="center"/>
    </xf>
    <xf numFmtId="0" fontId="13" fillId="6" borderId="5" xfId="10" applyFont="1" applyFill="1" applyBorder="1" applyAlignment="1" applyProtection="1">
      <alignment horizontal="center" vertical="center" wrapText="1"/>
    </xf>
    <xf numFmtId="0" fontId="8" fillId="6" borderId="16" xfId="10" applyFont="1" applyFill="1" applyBorder="1" applyAlignment="1" applyProtection="1">
      <alignment horizontal="center" vertical="center"/>
    </xf>
    <xf numFmtId="49" fontId="13" fillId="6" borderId="16" xfId="10" applyNumberFormat="1" applyFont="1" applyFill="1" applyBorder="1" applyAlignment="1" applyProtection="1">
      <alignment horizontal="left" vertical="center"/>
    </xf>
    <xf numFmtId="49" fontId="5" fillId="3" borderId="16" xfId="10" applyNumberFormat="1" applyFont="1" applyFill="1" applyBorder="1" applyAlignment="1" applyProtection="1">
      <alignment horizontal="left" vertical="center" wrapText="1"/>
    </xf>
    <xf numFmtId="49" fontId="5" fillId="3" borderId="5" xfId="10" applyNumberFormat="1" applyFont="1" applyFill="1" applyBorder="1" applyAlignment="1" applyProtection="1">
      <alignment horizontal="left" vertical="center"/>
    </xf>
    <xf numFmtId="49" fontId="13" fillId="6" borderId="5" xfId="10" applyNumberFormat="1" applyFont="1" applyFill="1" applyBorder="1" applyAlignment="1" applyProtection="1">
      <alignment horizontal="center" vertical="center"/>
    </xf>
    <xf numFmtId="49" fontId="13" fillId="6" borderId="5" xfId="10" applyNumberFormat="1" applyFont="1" applyFill="1" applyBorder="1" applyAlignment="1" applyProtection="1">
      <alignment horizontal="center" vertical="center" wrapText="1"/>
    </xf>
    <xf numFmtId="49" fontId="0" fillId="3" borderId="5" xfId="10" applyNumberFormat="1" applyFont="1" applyFill="1" applyBorder="1" applyAlignment="1" applyProtection="1">
      <alignment horizontal="left" vertical="center"/>
    </xf>
    <xf numFmtId="4" fontId="13" fillId="6" borderId="5" xfId="10" applyNumberFormat="1" applyFont="1" applyFill="1" applyBorder="1" applyAlignment="1" applyProtection="1">
      <alignment horizontal="center" vertical="center" wrapText="1"/>
    </xf>
    <xf numFmtId="0" fontId="42" fillId="4" borderId="0" xfId="10" applyFont="1" applyFill="1" applyAlignment="1" applyProtection="1">
      <alignment vertical="center"/>
    </xf>
    <xf numFmtId="0" fontId="16" fillId="4" borderId="0" xfId="10" applyFont="1" applyFill="1" applyAlignment="1" applyProtection="1">
      <alignment horizontal="center" vertical="center"/>
    </xf>
    <xf numFmtId="0" fontId="16" fillId="4" borderId="0" xfId="10" applyFont="1" applyFill="1" applyBorder="1" applyAlignment="1" applyProtection="1">
      <alignment horizontal="center" vertical="center"/>
    </xf>
    <xf numFmtId="0" fontId="42" fillId="0" borderId="0" xfId="10" applyFont="1" applyFill="1" applyAlignment="1" applyProtection="1">
      <alignment vertical="center"/>
    </xf>
    <xf numFmtId="0" fontId="16" fillId="0" borderId="0" xfId="10" applyFont="1" applyFill="1" applyAlignment="1" applyProtection="1">
      <alignment horizontal="center" vertical="center"/>
    </xf>
    <xf numFmtId="0" fontId="16" fillId="0" borderId="0" xfId="10" applyFont="1" applyFill="1" applyBorder="1" applyAlignment="1" applyProtection="1">
      <alignment horizontal="center" vertical="center"/>
    </xf>
    <xf numFmtId="49" fontId="8" fillId="0" borderId="0" xfId="10" applyNumberFormat="1" applyFont="1" applyFill="1" applyBorder="1" applyAlignment="1" applyProtection="1">
      <alignment horizontal="left" vertical="center"/>
    </xf>
    <xf numFmtId="0" fontId="8" fillId="0" borderId="0" xfId="10" applyFont="1" applyFill="1" applyBorder="1" applyAlignment="1" applyProtection="1">
      <alignment horizontal="center" vertical="center"/>
    </xf>
    <xf numFmtId="0" fontId="5" fillId="0" borderId="0" xfId="10" applyFont="1" applyFill="1" applyBorder="1" applyAlignment="1" applyProtection="1">
      <alignment horizontal="center" vertical="center"/>
    </xf>
    <xf numFmtId="0" fontId="16" fillId="0" borderId="0" xfId="10" applyFont="1" applyFill="1" applyAlignment="1" applyProtection="1">
      <alignment vertical="center"/>
    </xf>
    <xf numFmtId="4" fontId="16" fillId="0" borderId="0" xfId="10" applyNumberFormat="1" applyFont="1" applyFill="1" applyAlignment="1" applyProtection="1">
      <alignment horizontal="center" vertical="center"/>
    </xf>
    <xf numFmtId="0" fontId="6" fillId="4" borderId="0" xfId="10" applyFont="1" applyFill="1" applyProtection="1"/>
    <xf numFmtId="0" fontId="5" fillId="4" borderId="0" xfId="10" applyFont="1" applyFill="1" applyAlignment="1" applyProtection="1">
      <alignment horizontal="center"/>
    </xf>
    <xf numFmtId="0" fontId="5" fillId="4" borderId="0" xfId="10" applyFont="1" applyFill="1" applyProtection="1"/>
    <xf numFmtId="0" fontId="5" fillId="3" borderId="0" xfId="10" applyFont="1" applyFill="1" applyProtection="1"/>
    <xf numFmtId="0" fontId="5" fillId="3" borderId="0" xfId="10" applyFont="1" applyFill="1" applyAlignment="1" applyProtection="1">
      <alignment horizontal="center"/>
    </xf>
    <xf numFmtId="165" fontId="8" fillId="25" borderId="29" xfId="10" applyNumberFormat="1" applyFont="1" applyFill="1" applyBorder="1" applyAlignment="1" applyProtection="1">
      <alignment horizontal="center"/>
    </xf>
    <xf numFmtId="3" fontId="8" fillId="25" borderId="29" xfId="10" applyNumberFormat="1" applyFont="1" applyFill="1" applyBorder="1" applyAlignment="1" applyProtection="1">
      <alignment horizontal="center"/>
    </xf>
    <xf numFmtId="164" fontId="8" fillId="25" borderId="29" xfId="10" applyNumberFormat="1" applyFont="1" applyFill="1" applyBorder="1" applyAlignment="1" applyProtection="1">
      <alignment horizontal="center"/>
    </xf>
    <xf numFmtId="0" fontId="8" fillId="25" borderId="29" xfId="10" applyNumberFormat="1" applyFont="1" applyFill="1" applyBorder="1" applyAlignment="1" applyProtection="1">
      <alignment horizontal="center" vertical="center"/>
    </xf>
    <xf numFmtId="0" fontId="16" fillId="3" borderId="0" xfId="10" applyFill="1" applyProtection="1"/>
    <xf numFmtId="0" fontId="5" fillId="3" borderId="0" xfId="10" applyFont="1" applyFill="1" applyAlignment="1" applyProtection="1">
      <alignment horizontal="right"/>
    </xf>
    <xf numFmtId="49" fontId="13" fillId="6" borderId="29" xfId="10" applyNumberFormat="1" applyFont="1" applyFill="1" applyBorder="1" applyAlignment="1" applyProtection="1">
      <alignment horizontal="left" vertical="center"/>
    </xf>
    <xf numFmtId="49" fontId="13" fillId="6" borderId="29" xfId="10" applyNumberFormat="1" applyFont="1" applyFill="1" applyBorder="1" applyAlignment="1" applyProtection="1">
      <alignment horizontal="right" vertical="center"/>
    </xf>
    <xf numFmtId="165" fontId="5" fillId="25" borderId="29" xfId="10" applyNumberFormat="1" applyFont="1" applyFill="1" applyBorder="1" applyAlignment="1" applyProtection="1">
      <alignment horizontal="right" vertical="center"/>
    </xf>
    <xf numFmtId="4" fontId="5" fillId="25" borderId="29" xfId="10" applyNumberFormat="1" applyFont="1" applyFill="1" applyBorder="1" applyAlignment="1" applyProtection="1">
      <alignment horizontal="right" vertical="center"/>
    </xf>
    <xf numFmtId="2" fontId="8" fillId="0" borderId="51" xfId="0" applyNumberFormat="1" applyFont="1" applyFill="1" applyBorder="1" applyAlignment="1" applyProtection="1">
      <alignment horizontal="center" vertical="center"/>
    </xf>
    <xf numFmtId="0" fontId="49" fillId="25" borderId="5" xfId="0" applyFont="1" applyFill="1" applyBorder="1" applyAlignment="1" applyProtection="1">
      <alignment vertical="center"/>
    </xf>
    <xf numFmtId="0" fontId="49" fillId="25" borderId="5" xfId="0" applyFont="1" applyFill="1" applyBorder="1" applyAlignment="1" applyProtection="1">
      <alignment horizontal="center" vertical="center"/>
    </xf>
    <xf numFmtId="4" fontId="49" fillId="25" borderId="5" xfId="0" applyNumberFormat="1" applyFont="1" applyFill="1" applyBorder="1" applyAlignment="1" applyProtection="1">
      <alignment horizontal="center" vertical="center"/>
    </xf>
    <xf numFmtId="4" fontId="49" fillId="25" borderId="17" xfId="0" applyNumberFormat="1" applyFont="1" applyFill="1" applyBorder="1" applyAlignment="1" applyProtection="1">
      <alignment horizontal="center" vertical="center"/>
    </xf>
    <xf numFmtId="4" fontId="49" fillId="25" borderId="5" xfId="0" applyNumberFormat="1" applyFont="1" applyFill="1" applyBorder="1" applyAlignment="1" applyProtection="1">
      <alignment vertical="center"/>
    </xf>
    <xf numFmtId="4" fontId="49" fillId="25" borderId="17" xfId="0" applyNumberFormat="1" applyFont="1" applyFill="1" applyBorder="1" applyAlignment="1" applyProtection="1">
      <alignment vertical="center"/>
    </xf>
    <xf numFmtId="49" fontId="49" fillId="25" borderId="5" xfId="0" applyNumberFormat="1" applyFont="1" applyFill="1" applyBorder="1" applyAlignment="1" applyProtection="1">
      <alignment horizontal="left" vertical="center"/>
    </xf>
    <xf numFmtId="3" fontId="49" fillId="25" borderId="5" xfId="0" applyNumberFormat="1" applyFont="1" applyFill="1" applyBorder="1" applyAlignment="1" applyProtection="1">
      <alignment horizontal="center" vertical="center"/>
    </xf>
    <xf numFmtId="1" fontId="49" fillId="25" borderId="5" xfId="0" applyNumberFormat="1" applyFont="1" applyFill="1" applyBorder="1" applyAlignment="1" applyProtection="1">
      <alignment horizontal="center" vertical="center"/>
    </xf>
    <xf numFmtId="0" fontId="49" fillId="25" borderId="46" xfId="0" applyFont="1" applyFill="1" applyBorder="1" applyAlignment="1" applyProtection="1">
      <alignment vertical="center"/>
    </xf>
    <xf numFmtId="3" fontId="49" fillId="25" borderId="46" xfId="0" applyNumberFormat="1" applyFont="1" applyFill="1" applyBorder="1" applyAlignment="1" applyProtection="1">
      <alignment horizontal="center" vertical="center"/>
    </xf>
    <xf numFmtId="0" fontId="49" fillId="25" borderId="46" xfId="0" applyFont="1" applyFill="1" applyBorder="1" applyAlignment="1" applyProtection="1">
      <alignment horizontal="center" vertical="center"/>
    </xf>
    <xf numFmtId="4" fontId="49" fillId="25" borderId="46" xfId="0" applyNumberFormat="1" applyFont="1" applyFill="1" applyBorder="1" applyAlignment="1" applyProtection="1">
      <alignment horizontal="center" vertical="center"/>
    </xf>
    <xf numFmtId="4" fontId="49" fillId="25" borderId="47" xfId="0" applyNumberFormat="1" applyFont="1" applyFill="1" applyBorder="1" applyAlignment="1" applyProtection="1">
      <alignment horizontal="center" vertical="center"/>
    </xf>
    <xf numFmtId="49" fontId="49" fillId="25" borderId="46" xfId="0" applyNumberFormat="1" applyFont="1" applyFill="1" applyBorder="1" applyAlignment="1" applyProtection="1">
      <alignment horizontal="left" vertical="center"/>
    </xf>
    <xf numFmtId="1" fontId="49" fillId="25" borderId="46" xfId="0" applyNumberFormat="1" applyFont="1" applyFill="1" applyBorder="1" applyAlignment="1" applyProtection="1">
      <alignment horizontal="center" vertical="center"/>
    </xf>
    <xf numFmtId="3" fontId="50" fillId="25" borderId="46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Alignment="1" applyProtection="1">
      <alignment vertical="center"/>
    </xf>
    <xf numFmtId="0" fontId="8" fillId="0" borderId="0" xfId="0" applyFont="1" applyFill="1" applyAlignment="1" applyProtection="1">
      <alignment horizontal="center" vertical="center"/>
    </xf>
    <xf numFmtId="2" fontId="8" fillId="0" borderId="0" xfId="12" applyNumberFormat="1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17" fillId="0" borderId="0" xfId="0" applyFont="1" applyFill="1" applyAlignment="1" applyProtection="1">
      <alignment vertical="center"/>
    </xf>
    <xf numFmtId="0" fontId="16" fillId="4" borderId="0" xfId="10" applyFont="1" applyFill="1" applyAlignment="1" applyProtection="1">
      <alignment vertical="center"/>
    </xf>
    <xf numFmtId="0" fontId="16" fillId="4" borderId="0" xfId="10" applyFont="1" applyFill="1" applyBorder="1" applyAlignment="1" applyProtection="1">
      <alignment vertical="center"/>
    </xf>
    <xf numFmtId="0" fontId="16" fillId="0" borderId="0" xfId="10" applyFont="1" applyFill="1" applyBorder="1" applyAlignment="1" applyProtection="1">
      <alignment vertical="center"/>
    </xf>
    <xf numFmtId="3" fontId="8" fillId="25" borderId="16" xfId="10" applyNumberFormat="1" applyFont="1" applyFill="1" applyBorder="1" applyAlignment="1" applyProtection="1">
      <alignment horizontal="center" vertical="center"/>
    </xf>
    <xf numFmtId="3" fontId="8" fillId="25" borderId="5" xfId="10" applyNumberFormat="1" applyFont="1" applyFill="1" applyBorder="1" applyAlignment="1" applyProtection="1">
      <alignment horizontal="center" vertical="center"/>
    </xf>
    <xf numFmtId="0" fontId="5" fillId="0" borderId="0" xfId="10" applyFont="1" applyFill="1" applyBorder="1" applyAlignment="1" applyProtection="1">
      <alignment vertical="center"/>
    </xf>
    <xf numFmtId="0" fontId="5" fillId="0" borderId="0" xfId="10" applyFont="1" applyFill="1" applyAlignment="1" applyProtection="1">
      <alignment vertical="center"/>
    </xf>
    <xf numFmtId="4" fontId="5" fillId="0" borderId="0" xfId="10" applyNumberFormat="1" applyFont="1" applyFill="1" applyAlignment="1" applyProtection="1">
      <alignment vertical="center"/>
    </xf>
    <xf numFmtId="0" fontId="8" fillId="3" borderId="5" xfId="10" applyFont="1" applyFill="1" applyBorder="1" applyAlignment="1" applyProtection="1">
      <alignment horizontal="center" vertical="center"/>
    </xf>
    <xf numFmtId="3" fontId="5" fillId="3" borderId="5" xfId="10" applyNumberFormat="1" applyFont="1" applyFill="1" applyBorder="1" applyAlignment="1" applyProtection="1">
      <alignment horizontal="center"/>
    </xf>
    <xf numFmtId="10" fontId="5" fillId="3" borderId="5" xfId="1" applyNumberFormat="1" applyFont="1" applyFill="1" applyBorder="1" applyAlignment="1" applyProtection="1">
      <alignment horizontal="center"/>
    </xf>
    <xf numFmtId="4" fontId="5" fillId="3" borderId="5" xfId="10" applyNumberFormat="1" applyFont="1" applyFill="1" applyBorder="1" applyAlignment="1" applyProtection="1">
      <alignment horizontal="center"/>
    </xf>
    <xf numFmtId="4" fontId="8" fillId="3" borderId="5" xfId="10" applyNumberFormat="1" applyFont="1" applyFill="1" applyBorder="1" applyAlignment="1" applyProtection="1">
      <alignment horizontal="center"/>
    </xf>
    <xf numFmtId="0" fontId="8" fillId="3" borderId="53" xfId="10" applyFont="1" applyFill="1" applyBorder="1" applyAlignment="1" applyProtection="1">
      <alignment horizontal="center" vertical="center"/>
    </xf>
    <xf numFmtId="167" fontId="0" fillId="2" borderId="52" xfId="0" applyNumberFormat="1" applyFill="1" applyBorder="1" applyAlignment="1" applyProtection="1">
      <alignment horizontal="center"/>
    </xf>
    <xf numFmtId="4" fontId="8" fillId="3" borderId="16" xfId="10" applyNumberFormat="1" applyFont="1" applyFill="1" applyBorder="1" applyAlignment="1" applyProtection="1">
      <alignment horizontal="center"/>
    </xf>
    <xf numFmtId="0" fontId="45" fillId="24" borderId="39" xfId="10" applyFont="1" applyFill="1" applyBorder="1" applyAlignment="1" applyProtection="1">
      <alignment horizontal="center"/>
    </xf>
    <xf numFmtId="4" fontId="5" fillId="25" borderId="5" xfId="10" applyNumberFormat="1" applyFont="1" applyFill="1" applyBorder="1" applyAlignment="1" applyProtection="1">
      <alignment horizontal="center" vertical="center"/>
    </xf>
    <xf numFmtId="4" fontId="8" fillId="25" borderId="5" xfId="10" applyNumberFormat="1" applyFont="1" applyFill="1" applyBorder="1" applyAlignment="1" applyProtection="1">
      <alignment horizontal="center" vertical="center"/>
    </xf>
    <xf numFmtId="3" fontId="8" fillId="0" borderId="54" xfId="0" applyNumberFormat="1" applyFont="1" applyFill="1" applyBorder="1" applyAlignment="1" applyProtection="1">
      <alignment horizontal="center" vertical="center"/>
    </xf>
    <xf numFmtId="3" fontId="0" fillId="25" borderId="5" xfId="0" applyNumberFormat="1" applyFont="1" applyFill="1" applyBorder="1" applyAlignment="1" applyProtection="1">
      <alignment horizontal="center" vertical="center"/>
    </xf>
    <xf numFmtId="3" fontId="0" fillId="25" borderId="16" xfId="0" applyNumberFormat="1" applyFont="1" applyFill="1" applyBorder="1" applyAlignment="1" applyProtection="1">
      <alignment horizontal="center" vertical="center"/>
    </xf>
    <xf numFmtId="3" fontId="0" fillId="25" borderId="46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/>
    </xf>
    <xf numFmtId="0" fontId="0" fillId="0" borderId="0" xfId="0" applyFill="1"/>
    <xf numFmtId="0" fontId="45" fillId="4" borderId="0" xfId="98" applyFont="1" applyFill="1" applyBorder="1" applyAlignment="1" applyProtection="1">
      <alignment vertical="center"/>
    </xf>
    <xf numFmtId="0" fontId="5" fillId="4" borderId="0" xfId="0" applyFont="1" applyFill="1" applyBorder="1" applyProtection="1"/>
    <xf numFmtId="0" fontId="5" fillId="4" borderId="0" xfId="0" applyFont="1" applyFill="1" applyBorder="1" applyAlignment="1" applyProtection="1">
      <alignment horizont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8" fillId="0" borderId="55" xfId="0" applyFont="1" applyBorder="1" applyProtection="1"/>
    <xf numFmtId="0" fontId="8" fillId="26" borderId="55" xfId="0" applyFont="1" applyFill="1" applyBorder="1" applyAlignment="1" applyProtection="1">
      <alignment horizontal="center"/>
    </xf>
    <xf numFmtId="0" fontId="8" fillId="26" borderId="56" xfId="0" applyFont="1" applyFill="1" applyBorder="1" applyAlignment="1" applyProtection="1">
      <alignment horizontal="center"/>
    </xf>
    <xf numFmtId="0" fontId="8" fillId="0" borderId="56" xfId="0" applyFont="1" applyBorder="1" applyAlignment="1" applyProtection="1">
      <alignment horizontal="center"/>
    </xf>
    <xf numFmtId="0" fontId="8" fillId="0" borderId="57" xfId="0" applyFont="1" applyBorder="1" applyAlignment="1" applyProtection="1">
      <alignment horizontal="center"/>
    </xf>
    <xf numFmtId="0" fontId="5" fillId="0" borderId="55" xfId="0" applyFont="1" applyBorder="1" applyProtection="1"/>
    <xf numFmtId="0" fontId="0" fillId="0" borderId="55" xfId="0" applyFont="1" applyBorder="1" applyProtection="1"/>
    <xf numFmtId="3" fontId="5" fillId="26" borderId="55" xfId="0" applyNumberFormat="1" applyFont="1" applyFill="1" applyBorder="1" applyAlignment="1" applyProtection="1">
      <alignment horizontal="center"/>
    </xf>
    <xf numFmtId="3" fontId="5" fillId="26" borderId="56" xfId="0" applyNumberFormat="1" applyFont="1" applyFill="1" applyBorder="1" applyAlignment="1" applyProtection="1">
      <alignment horizontal="center"/>
    </xf>
    <xf numFmtId="3" fontId="5" fillId="0" borderId="56" xfId="0" applyNumberFormat="1" applyFont="1" applyFill="1" applyBorder="1" applyAlignment="1" applyProtection="1">
      <alignment horizontal="center"/>
    </xf>
    <xf numFmtId="3" fontId="5" fillId="0" borderId="56" xfId="0" applyNumberFormat="1" applyFont="1" applyBorder="1" applyAlignment="1" applyProtection="1">
      <alignment horizontal="center"/>
    </xf>
    <xf numFmtId="3" fontId="5" fillId="0" borderId="48" xfId="0" applyNumberFormat="1" applyFont="1" applyBorder="1" applyAlignment="1" applyProtection="1">
      <alignment horizontal="center"/>
    </xf>
    <xf numFmtId="0" fontId="5" fillId="0" borderId="58" xfId="0" applyFont="1" applyBorder="1" applyProtection="1"/>
    <xf numFmtId="0" fontId="5" fillId="0" borderId="59" xfId="0" applyFont="1" applyBorder="1" applyProtection="1"/>
    <xf numFmtId="3" fontId="5" fillId="26" borderId="59" xfId="0" applyNumberFormat="1" applyFont="1" applyFill="1" applyBorder="1" applyAlignment="1" applyProtection="1">
      <alignment horizontal="center"/>
    </xf>
    <xf numFmtId="3" fontId="5" fillId="26" borderId="0" xfId="0" applyNumberFormat="1" applyFont="1" applyFill="1" applyAlignment="1" applyProtection="1">
      <alignment horizontal="center"/>
    </xf>
    <xf numFmtId="3" fontId="5" fillId="0" borderId="0" xfId="0" applyNumberFormat="1" applyFont="1" applyFill="1" applyAlignment="1" applyProtection="1">
      <alignment horizontal="center"/>
    </xf>
    <xf numFmtId="3" fontId="5" fillId="0" borderId="0" xfId="0" applyNumberFormat="1" applyFont="1" applyAlignment="1" applyProtection="1">
      <alignment horizontal="center"/>
    </xf>
    <xf numFmtId="3" fontId="5" fillId="0" borderId="50" xfId="0" applyNumberFormat="1" applyFont="1" applyBorder="1" applyAlignment="1" applyProtection="1">
      <alignment horizontal="center"/>
    </xf>
    <xf numFmtId="3" fontId="5" fillId="0" borderId="49" xfId="0" applyNumberFormat="1" applyFont="1" applyBorder="1" applyAlignment="1" applyProtection="1">
      <alignment horizontal="center"/>
    </xf>
    <xf numFmtId="0" fontId="8" fillId="0" borderId="60" xfId="0" applyFont="1" applyBorder="1" applyProtection="1"/>
    <xf numFmtId="3" fontId="8" fillId="26" borderId="55" xfId="0" applyNumberFormat="1" applyFont="1" applyFill="1" applyBorder="1" applyAlignment="1" applyProtection="1">
      <alignment horizontal="center"/>
    </xf>
    <xf numFmtId="3" fontId="8" fillId="26" borderId="56" xfId="0" applyNumberFormat="1" applyFont="1" applyFill="1" applyBorder="1" applyAlignment="1" applyProtection="1">
      <alignment horizontal="center"/>
    </xf>
    <xf numFmtId="3" fontId="8" fillId="0" borderId="56" xfId="0" applyNumberFormat="1" applyFont="1" applyFill="1" applyBorder="1" applyAlignment="1" applyProtection="1">
      <alignment horizontal="center"/>
    </xf>
    <xf numFmtId="3" fontId="8" fillId="0" borderId="56" xfId="0" applyNumberFormat="1" applyFont="1" applyBorder="1" applyAlignment="1" applyProtection="1">
      <alignment horizontal="center"/>
    </xf>
    <xf numFmtId="3" fontId="8" fillId="0" borderId="61" xfId="0" applyNumberFormat="1" applyFont="1" applyBorder="1" applyAlignment="1" applyProtection="1">
      <alignment horizontal="center"/>
    </xf>
    <xf numFmtId="3" fontId="5" fillId="0" borderId="57" xfId="0" applyNumberFormat="1" applyFont="1" applyBorder="1" applyAlignment="1" applyProtection="1">
      <alignment horizontal="center"/>
    </xf>
    <xf numFmtId="3" fontId="5" fillId="0" borderId="61" xfId="0" applyNumberFormat="1" applyFont="1" applyBorder="1" applyAlignment="1" applyProtection="1">
      <alignment horizontal="center"/>
    </xf>
    <xf numFmtId="3" fontId="8" fillId="0" borderId="57" xfId="0" applyNumberFormat="1" applyFont="1" applyBorder="1" applyAlignment="1" applyProtection="1">
      <alignment horizontal="center"/>
    </xf>
    <xf numFmtId="3" fontId="8" fillId="26" borderId="33" xfId="0" applyNumberFormat="1" applyFont="1" applyFill="1" applyBorder="1" applyAlignment="1" applyProtection="1">
      <alignment horizontal="center"/>
    </xf>
    <xf numFmtId="3" fontId="8" fillId="26" borderId="37" xfId="0" applyNumberFormat="1" applyFont="1" applyFill="1" applyBorder="1" applyAlignment="1" applyProtection="1">
      <alignment horizontal="center"/>
    </xf>
    <xf numFmtId="3" fontId="8" fillId="0" borderId="37" xfId="0" applyNumberFormat="1" applyFont="1" applyFill="1" applyBorder="1" applyAlignment="1" applyProtection="1">
      <alignment horizontal="center"/>
    </xf>
    <xf numFmtId="3" fontId="8" fillId="0" borderId="37" xfId="0" applyNumberFormat="1" applyFont="1" applyBorder="1" applyAlignment="1" applyProtection="1">
      <alignment horizontal="center"/>
    </xf>
    <xf numFmtId="3" fontId="8" fillId="0" borderId="30" xfId="0" applyNumberFormat="1" applyFont="1" applyBorder="1" applyAlignment="1" applyProtection="1">
      <alignment horizontal="center"/>
    </xf>
    <xf numFmtId="3" fontId="8" fillId="0" borderId="62" xfId="0" applyNumberFormat="1" applyFont="1" applyBorder="1" applyAlignment="1" applyProtection="1">
      <alignment horizontal="center"/>
    </xf>
    <xf numFmtId="3" fontId="8" fillId="26" borderId="59" xfId="0" applyNumberFormat="1" applyFont="1" applyFill="1" applyBorder="1" applyAlignment="1" applyProtection="1">
      <alignment horizontal="center"/>
    </xf>
    <xf numFmtId="3" fontId="8" fillId="26" borderId="0" xfId="0" applyNumberFormat="1" applyFont="1" applyFill="1" applyBorder="1" applyAlignment="1" applyProtection="1">
      <alignment horizontal="center"/>
    </xf>
    <xf numFmtId="3" fontId="8" fillId="0" borderId="0" xfId="0" applyNumberFormat="1" applyFont="1" applyFill="1" applyBorder="1" applyAlignment="1" applyProtection="1">
      <alignment horizontal="center"/>
    </xf>
    <xf numFmtId="3" fontId="8" fillId="0" borderId="0" xfId="0" applyNumberFormat="1" applyFont="1" applyBorder="1" applyAlignment="1" applyProtection="1">
      <alignment horizontal="center"/>
    </xf>
    <xf numFmtId="0" fontId="8" fillId="0" borderId="63" xfId="0" applyFont="1" applyBorder="1" applyProtection="1"/>
    <xf numFmtId="0" fontId="8" fillId="0" borderId="64" xfId="0" applyFont="1" applyBorder="1" applyProtection="1"/>
    <xf numFmtId="3" fontId="8" fillId="0" borderId="65" xfId="0" applyNumberFormat="1" applyFont="1" applyBorder="1" applyAlignment="1" applyProtection="1">
      <alignment horizontal="center"/>
    </xf>
    <xf numFmtId="0" fontId="5" fillId="4" borderId="0" xfId="0" applyFont="1" applyFill="1" applyAlignment="1" applyProtection="1">
      <alignment horizontal="left"/>
    </xf>
    <xf numFmtId="0" fontId="5" fillId="4" borderId="0" xfId="0" applyFont="1" applyFill="1" applyProtection="1"/>
    <xf numFmtId="0" fontId="5" fillId="4" borderId="0" xfId="0" applyFont="1" applyFill="1" applyAlignment="1" applyProtection="1">
      <alignment horizontal="center"/>
    </xf>
    <xf numFmtId="0" fontId="5" fillId="0" borderId="0" xfId="0" applyFont="1" applyAlignment="1" applyProtection="1">
      <alignment horizontal="left"/>
    </xf>
    <xf numFmtId="0" fontId="5" fillId="0" borderId="0" xfId="0" applyFont="1" applyFill="1" applyAlignment="1" applyProtection="1">
      <alignment horizontal="center"/>
    </xf>
    <xf numFmtId="0" fontId="8" fillId="0" borderId="0" xfId="0" applyFont="1" applyProtection="1"/>
    <xf numFmtId="0" fontId="0" fillId="0" borderId="0" xfId="0" applyFill="1" applyProtection="1"/>
    <xf numFmtId="0" fontId="8" fillId="0" borderId="29" xfId="0" applyFont="1" applyBorder="1" applyAlignment="1" applyProtection="1">
      <alignment horizontal="center"/>
    </xf>
    <xf numFmtId="0" fontId="8" fillId="0" borderId="87" xfId="0" applyFont="1" applyBorder="1" applyProtection="1"/>
    <xf numFmtId="0" fontId="8" fillId="0" borderId="87" xfId="0" applyFont="1" applyBorder="1" applyAlignment="1" applyProtection="1">
      <alignment horizontal="center"/>
    </xf>
    <xf numFmtId="0" fontId="8" fillId="0" borderId="87" xfId="0" applyFont="1" applyFill="1" applyBorder="1" applyAlignment="1" applyProtection="1">
      <alignment horizontal="center"/>
    </xf>
    <xf numFmtId="0" fontId="0" fillId="0" borderId="49" xfId="0" applyBorder="1" applyProtection="1"/>
    <xf numFmtId="3" fontId="0" fillId="0" borderId="49" xfId="0" applyNumberFormat="1" applyBorder="1" applyAlignment="1" applyProtection="1">
      <alignment horizontal="center"/>
    </xf>
    <xf numFmtId="3" fontId="0" fillId="0" borderId="49" xfId="0" applyNumberFormat="1" applyFill="1" applyBorder="1" applyAlignment="1" applyProtection="1">
      <alignment horizontal="center"/>
    </xf>
    <xf numFmtId="0" fontId="0" fillId="0" borderId="29" xfId="0" applyBorder="1" applyProtection="1"/>
    <xf numFmtId="3" fontId="0" fillId="0" borderId="29" xfId="0" applyNumberFormat="1" applyBorder="1" applyAlignment="1" applyProtection="1">
      <alignment horizontal="center"/>
    </xf>
    <xf numFmtId="3" fontId="0" fillId="0" borderId="29" xfId="0" applyNumberFormat="1" applyFill="1" applyBorder="1" applyAlignment="1" applyProtection="1">
      <alignment horizontal="center"/>
    </xf>
    <xf numFmtId="0" fontId="0" fillId="0" borderId="87" xfId="0" applyBorder="1" applyProtection="1"/>
    <xf numFmtId="3" fontId="0" fillId="0" borderId="87" xfId="0" applyNumberFormat="1" applyBorder="1" applyAlignment="1" applyProtection="1">
      <alignment horizontal="center"/>
    </xf>
    <xf numFmtId="3" fontId="0" fillId="0" borderId="87" xfId="0" applyNumberFormat="1" applyFill="1" applyBorder="1" applyAlignment="1" applyProtection="1">
      <alignment horizontal="center"/>
    </xf>
    <xf numFmtId="0" fontId="8" fillId="0" borderId="49" xfId="0" applyFont="1" applyFill="1" applyBorder="1" applyProtection="1"/>
    <xf numFmtId="3" fontId="8" fillId="0" borderId="49" xfId="0" applyNumberFormat="1" applyFont="1" applyBorder="1" applyAlignment="1" applyProtection="1">
      <alignment horizontal="center"/>
    </xf>
    <xf numFmtId="3" fontId="8" fillId="0" borderId="49" xfId="0" applyNumberFormat="1" applyFont="1" applyFill="1" applyBorder="1" applyAlignment="1" applyProtection="1">
      <alignment horizontal="center"/>
    </xf>
    <xf numFmtId="0" fontId="0" fillId="0" borderId="55" xfId="0" applyFont="1" applyBorder="1" applyAlignment="1" applyProtection="1">
      <alignment horizontal="left"/>
    </xf>
    <xf numFmtId="0" fontId="5" fillId="3" borderId="55" xfId="0" applyFont="1" applyFill="1" applyBorder="1" applyAlignment="1" applyProtection="1">
      <alignment horizontal="center"/>
    </xf>
    <xf numFmtId="0" fontId="5" fillId="3" borderId="56" xfId="0" applyFont="1" applyFill="1" applyBorder="1" applyAlignment="1" applyProtection="1">
      <alignment horizontal="center"/>
    </xf>
    <xf numFmtId="0" fontId="5" fillId="0" borderId="56" xfId="0" applyFont="1" applyBorder="1" applyAlignment="1" applyProtection="1">
      <alignment horizontal="center"/>
    </xf>
    <xf numFmtId="0" fontId="0" fillId="0" borderId="57" xfId="0" applyFont="1" applyBorder="1" applyAlignment="1" applyProtection="1">
      <alignment horizontal="center"/>
    </xf>
    <xf numFmtId="0" fontId="0" fillId="27" borderId="55" xfId="0" applyFont="1" applyFill="1" applyBorder="1" applyProtection="1"/>
    <xf numFmtId="3" fontId="5" fillId="27" borderId="34" xfId="0" applyNumberFormat="1" applyFont="1" applyFill="1" applyBorder="1" applyAlignment="1" applyProtection="1">
      <alignment horizontal="center"/>
    </xf>
    <xf numFmtId="3" fontId="5" fillId="27" borderId="35" xfId="0" applyNumberFormat="1" applyFont="1" applyFill="1" applyBorder="1" applyAlignment="1" applyProtection="1">
      <alignment horizontal="center"/>
    </xf>
    <xf numFmtId="3" fontId="5" fillId="27" borderId="36" xfId="0" applyNumberFormat="1" applyFont="1" applyFill="1" applyBorder="1" applyAlignment="1" applyProtection="1">
      <alignment horizontal="center"/>
    </xf>
    <xf numFmtId="0" fontId="5" fillId="27" borderId="59" xfId="0" applyFont="1" applyFill="1" applyBorder="1" applyProtection="1"/>
    <xf numFmtId="3" fontId="5" fillId="27" borderId="31" xfId="0" applyNumberFormat="1" applyFont="1" applyFill="1" applyBorder="1" applyAlignment="1" applyProtection="1">
      <alignment horizontal="center"/>
    </xf>
    <xf numFmtId="3" fontId="5" fillId="27" borderId="0" xfId="0" applyNumberFormat="1" applyFont="1" applyFill="1" applyBorder="1" applyAlignment="1" applyProtection="1">
      <alignment horizontal="center"/>
    </xf>
    <xf numFmtId="3" fontId="5" fillId="27" borderId="32" xfId="0" applyNumberFormat="1" applyFont="1" applyFill="1" applyBorder="1" applyAlignment="1" applyProtection="1">
      <alignment horizontal="center"/>
    </xf>
    <xf numFmtId="3" fontId="5" fillId="27" borderId="21" xfId="0" applyNumberFormat="1" applyFont="1" applyFill="1" applyBorder="1" applyAlignment="1" applyProtection="1">
      <alignment horizontal="center"/>
    </xf>
    <xf numFmtId="3" fontId="5" fillId="27" borderId="20" xfId="0" applyNumberFormat="1" applyFont="1" applyFill="1" applyBorder="1" applyAlignment="1" applyProtection="1">
      <alignment horizontal="center"/>
    </xf>
    <xf numFmtId="3" fontId="5" fillId="27" borderId="38" xfId="0" applyNumberFormat="1" applyFont="1" applyFill="1" applyBorder="1" applyAlignment="1" applyProtection="1">
      <alignment horizontal="center"/>
    </xf>
    <xf numFmtId="0" fontId="8" fillId="27" borderId="55" xfId="0" applyFont="1" applyFill="1" applyBorder="1" applyAlignment="1" applyProtection="1">
      <alignment horizontal="left"/>
    </xf>
    <xf numFmtId="0" fontId="8" fillId="27" borderId="29" xfId="0" applyFont="1" applyFill="1" applyBorder="1" applyProtection="1"/>
    <xf numFmtId="3" fontId="8" fillId="27" borderId="0" xfId="0" applyNumberFormat="1" applyFont="1" applyFill="1" applyBorder="1" applyAlignment="1" applyProtection="1">
      <alignment horizontal="center"/>
    </xf>
    <xf numFmtId="3" fontId="8" fillId="27" borderId="61" xfId="0" applyNumberFormat="1" applyFont="1" applyFill="1" applyBorder="1" applyAlignment="1" applyProtection="1">
      <alignment horizontal="center"/>
    </xf>
    <xf numFmtId="0" fontId="0" fillId="27" borderId="59" xfId="0" applyFont="1" applyFill="1" applyBorder="1" applyProtection="1"/>
    <xf numFmtId="3" fontId="5" fillId="27" borderId="62" xfId="0" applyNumberFormat="1" applyFont="1" applyFill="1" applyBorder="1" applyAlignment="1" applyProtection="1">
      <alignment horizontal="center"/>
    </xf>
    <xf numFmtId="3" fontId="5" fillId="27" borderId="67" xfId="0" applyNumberFormat="1" applyFont="1" applyFill="1" applyBorder="1" applyAlignment="1" applyProtection="1">
      <alignment horizontal="center"/>
    </xf>
    <xf numFmtId="10" fontId="8" fillId="27" borderId="29" xfId="1" applyNumberFormat="1" applyFont="1" applyFill="1" applyBorder="1" applyAlignment="1" applyProtection="1">
      <alignment horizontal="center"/>
    </xf>
    <xf numFmtId="3" fontId="8" fillId="27" borderId="57" xfId="0" applyNumberFormat="1" applyFont="1" applyFill="1" applyBorder="1" applyAlignment="1" applyProtection="1">
      <alignment horizontal="center"/>
    </xf>
    <xf numFmtId="0" fontId="8" fillId="27" borderId="55" xfId="0" applyFont="1" applyFill="1" applyBorder="1" applyProtection="1"/>
    <xf numFmtId="0" fontId="8" fillId="27" borderId="60" xfId="0" applyFont="1" applyFill="1" applyBorder="1" applyAlignment="1" applyProtection="1">
      <alignment horizontal="left"/>
    </xf>
    <xf numFmtId="0" fontId="8" fillId="27" borderId="68" xfId="0" applyFont="1" applyFill="1" applyBorder="1" applyProtection="1"/>
    <xf numFmtId="3" fontId="8" fillId="27" borderId="55" xfId="0" applyNumberFormat="1" applyFont="1" applyFill="1" applyBorder="1" applyAlignment="1" applyProtection="1">
      <alignment horizontal="center"/>
    </xf>
    <xf numFmtId="3" fontId="8" fillId="27" borderId="56" xfId="0" applyNumberFormat="1" applyFont="1" applyFill="1" applyBorder="1" applyAlignment="1" applyProtection="1">
      <alignment horizontal="center"/>
    </xf>
    <xf numFmtId="0" fontId="5" fillId="28" borderId="55" xfId="0" applyFont="1" applyFill="1" applyBorder="1" applyProtection="1"/>
    <xf numFmtId="3" fontId="5" fillId="28" borderId="34" xfId="0" applyNumberFormat="1" applyFont="1" applyFill="1" applyBorder="1" applyAlignment="1" applyProtection="1">
      <alignment horizontal="center"/>
    </xf>
    <xf numFmtId="3" fontId="5" fillId="28" borderId="35" xfId="0" applyNumberFormat="1" applyFont="1" applyFill="1" applyBorder="1" applyAlignment="1" applyProtection="1">
      <alignment horizontal="center"/>
    </xf>
    <xf numFmtId="3" fontId="5" fillId="28" borderId="36" xfId="0" applyNumberFormat="1" applyFont="1" applyFill="1" applyBorder="1" applyAlignment="1" applyProtection="1">
      <alignment horizontal="center"/>
    </xf>
    <xf numFmtId="3" fontId="5" fillId="28" borderId="62" xfId="0" applyNumberFormat="1" applyFont="1" applyFill="1" applyBorder="1" applyAlignment="1" applyProtection="1">
      <alignment horizontal="center"/>
    </xf>
    <xf numFmtId="0" fontId="5" fillId="28" borderId="59" xfId="0" applyFont="1" applyFill="1" applyBorder="1" applyProtection="1"/>
    <xf numFmtId="3" fontId="5" fillId="28" borderId="31" xfId="0" applyNumberFormat="1" applyFont="1" applyFill="1" applyBorder="1" applyAlignment="1" applyProtection="1">
      <alignment horizontal="center"/>
    </xf>
    <xf numFmtId="3" fontId="5" fillId="28" borderId="0" xfId="0" applyNumberFormat="1" applyFont="1" applyFill="1" applyBorder="1" applyAlignment="1" applyProtection="1">
      <alignment horizontal="center"/>
    </xf>
    <xf numFmtId="3" fontId="5" fillId="28" borderId="32" xfId="0" applyNumberFormat="1" applyFont="1" applyFill="1" applyBorder="1" applyAlignment="1" applyProtection="1">
      <alignment horizontal="center"/>
    </xf>
    <xf numFmtId="3" fontId="5" fillId="28" borderId="67" xfId="0" applyNumberFormat="1" applyFont="1" applyFill="1" applyBorder="1" applyAlignment="1" applyProtection="1">
      <alignment horizontal="center"/>
    </xf>
    <xf numFmtId="0" fontId="0" fillId="28" borderId="59" xfId="0" applyFont="1" applyFill="1" applyBorder="1" applyProtection="1"/>
    <xf numFmtId="3" fontId="5" fillId="28" borderId="21" xfId="0" applyNumberFormat="1" applyFont="1" applyFill="1" applyBorder="1" applyAlignment="1" applyProtection="1">
      <alignment horizontal="center"/>
    </xf>
    <xf numFmtId="3" fontId="5" fillId="28" borderId="20" xfId="0" applyNumberFormat="1" applyFont="1" applyFill="1" applyBorder="1" applyAlignment="1" applyProtection="1">
      <alignment horizontal="center"/>
    </xf>
    <xf numFmtId="3" fontId="5" fillId="28" borderId="38" xfId="0" applyNumberFormat="1" applyFont="1" applyFill="1" applyBorder="1" applyAlignment="1" applyProtection="1">
      <alignment horizontal="center"/>
    </xf>
    <xf numFmtId="0" fontId="8" fillId="28" borderId="55" xfId="0" applyFont="1" applyFill="1" applyBorder="1" applyAlignment="1" applyProtection="1">
      <alignment horizontal="left"/>
    </xf>
    <xf numFmtId="0" fontId="8" fillId="28" borderId="29" xfId="0" applyFont="1" applyFill="1" applyBorder="1" applyProtection="1"/>
    <xf numFmtId="3" fontId="8" fillId="28" borderId="0" xfId="0" applyNumberFormat="1" applyFont="1" applyFill="1" applyBorder="1" applyAlignment="1" applyProtection="1">
      <alignment horizontal="center"/>
    </xf>
    <xf numFmtId="3" fontId="8" fillId="28" borderId="57" xfId="0" applyNumberFormat="1" applyFont="1" applyFill="1" applyBorder="1" applyAlignment="1" applyProtection="1">
      <alignment horizontal="center"/>
    </xf>
    <xf numFmtId="3" fontId="5" fillId="28" borderId="48" xfId="0" applyNumberFormat="1" applyFont="1" applyFill="1" applyBorder="1" applyAlignment="1" applyProtection="1">
      <alignment horizontal="center"/>
    </xf>
    <xf numFmtId="3" fontId="5" fillId="28" borderId="50" xfId="0" applyNumberFormat="1" applyFont="1" applyFill="1" applyBorder="1" applyAlignment="1" applyProtection="1">
      <alignment horizontal="center"/>
    </xf>
    <xf numFmtId="3" fontId="5" fillId="28" borderId="49" xfId="0" applyNumberFormat="1" applyFont="1" applyFill="1" applyBorder="1" applyAlignment="1" applyProtection="1">
      <alignment horizontal="center"/>
    </xf>
    <xf numFmtId="10" fontId="8" fillId="28" borderId="29" xfId="1" applyNumberFormat="1" applyFont="1" applyFill="1" applyBorder="1" applyAlignment="1" applyProtection="1">
      <alignment horizontal="center"/>
    </xf>
    <xf numFmtId="3" fontId="8" fillId="28" borderId="33" xfId="0" applyNumberFormat="1" applyFont="1" applyFill="1" applyBorder="1" applyAlignment="1" applyProtection="1">
      <alignment horizontal="center"/>
    </xf>
    <xf numFmtId="3" fontId="8" fillId="28" borderId="37" xfId="0" applyNumberFormat="1" applyFont="1" applyFill="1" applyBorder="1" applyAlignment="1" applyProtection="1">
      <alignment horizontal="center"/>
    </xf>
    <xf numFmtId="3" fontId="8" fillId="28" borderId="30" xfId="0" applyNumberFormat="1" applyFont="1" applyFill="1" applyBorder="1" applyAlignment="1" applyProtection="1">
      <alignment horizontal="center"/>
    </xf>
    <xf numFmtId="3" fontId="8" fillId="28" borderId="67" xfId="0" applyNumberFormat="1" applyFont="1" applyFill="1" applyBorder="1" applyAlignment="1" applyProtection="1">
      <alignment horizontal="center"/>
    </xf>
    <xf numFmtId="0" fontId="8" fillId="28" borderId="70" xfId="0" applyFont="1" applyFill="1" applyBorder="1" applyProtection="1"/>
    <xf numFmtId="0" fontId="8" fillId="28" borderId="71" xfId="0" applyFont="1" applyFill="1" applyBorder="1" applyAlignment="1" applyProtection="1">
      <alignment horizontal="left"/>
    </xf>
    <xf numFmtId="0" fontId="8" fillId="28" borderId="72" xfId="0" applyFont="1" applyFill="1" applyBorder="1" applyProtection="1"/>
    <xf numFmtId="3" fontId="8" fillId="28" borderId="59" xfId="0" applyNumberFormat="1" applyFont="1" applyFill="1" applyBorder="1" applyAlignment="1" applyProtection="1">
      <alignment horizontal="center"/>
    </xf>
    <xf numFmtId="3" fontId="8" fillId="28" borderId="73" xfId="0" applyNumberFormat="1" applyFont="1" applyFill="1" applyBorder="1" applyAlignment="1" applyProtection="1">
      <alignment horizontal="center"/>
    </xf>
    <xf numFmtId="0" fontId="5" fillId="29" borderId="55" xfId="0" applyFont="1" applyFill="1" applyBorder="1" applyProtection="1"/>
    <xf numFmtId="3" fontId="5" fillId="29" borderId="34" xfId="0" applyNumberFormat="1" applyFont="1" applyFill="1" applyBorder="1" applyAlignment="1" applyProtection="1">
      <alignment horizontal="center"/>
    </xf>
    <xf numFmtId="3" fontId="5" fillId="29" borderId="35" xfId="0" applyNumberFormat="1" applyFont="1" applyFill="1" applyBorder="1" applyAlignment="1" applyProtection="1">
      <alignment horizontal="center"/>
    </xf>
    <xf numFmtId="3" fontId="5" fillId="29" borderId="36" xfId="0" applyNumberFormat="1" applyFont="1" applyFill="1" applyBorder="1" applyAlignment="1" applyProtection="1">
      <alignment horizontal="center"/>
    </xf>
    <xf numFmtId="3" fontId="5" fillId="29" borderId="62" xfId="0" applyNumberFormat="1" applyFont="1" applyFill="1" applyBorder="1" applyAlignment="1" applyProtection="1">
      <alignment horizontal="center"/>
    </xf>
    <xf numFmtId="0" fontId="5" fillId="29" borderId="59" xfId="0" applyFont="1" applyFill="1" applyBorder="1" applyProtection="1"/>
    <xf numFmtId="3" fontId="5" fillId="29" borderId="31" xfId="0" applyNumberFormat="1" applyFont="1" applyFill="1" applyBorder="1" applyAlignment="1" applyProtection="1">
      <alignment horizontal="center"/>
    </xf>
    <xf numFmtId="3" fontId="5" fillId="29" borderId="0" xfId="0" applyNumberFormat="1" applyFont="1" applyFill="1" applyBorder="1" applyAlignment="1" applyProtection="1">
      <alignment horizontal="center"/>
    </xf>
    <xf numFmtId="3" fontId="5" fillId="29" borderId="32" xfId="0" applyNumberFormat="1" applyFont="1" applyFill="1" applyBorder="1" applyAlignment="1" applyProtection="1">
      <alignment horizontal="center"/>
    </xf>
    <xf numFmtId="3" fontId="5" fillId="29" borderId="67" xfId="0" applyNumberFormat="1" applyFont="1" applyFill="1" applyBorder="1" applyAlignment="1" applyProtection="1">
      <alignment horizontal="center"/>
    </xf>
    <xf numFmtId="0" fontId="0" fillId="29" borderId="59" xfId="0" applyFont="1" applyFill="1" applyBorder="1" applyProtection="1"/>
    <xf numFmtId="3" fontId="5" fillId="29" borderId="21" xfId="0" applyNumberFormat="1" applyFont="1" applyFill="1" applyBorder="1" applyAlignment="1" applyProtection="1">
      <alignment horizontal="center"/>
    </xf>
    <xf numFmtId="3" fontId="5" fillId="29" borderId="20" xfId="0" applyNumberFormat="1" applyFont="1" applyFill="1" applyBorder="1" applyAlignment="1" applyProtection="1">
      <alignment horizontal="center"/>
    </xf>
    <xf numFmtId="3" fontId="5" fillId="29" borderId="38" xfId="0" applyNumberFormat="1" applyFont="1" applyFill="1" applyBorder="1" applyAlignment="1" applyProtection="1">
      <alignment horizontal="center"/>
    </xf>
    <xf numFmtId="0" fontId="8" fillId="29" borderId="55" xfId="0" applyFont="1" applyFill="1" applyBorder="1" applyAlignment="1" applyProtection="1">
      <alignment horizontal="left"/>
    </xf>
    <xf numFmtId="0" fontId="8" fillId="29" borderId="29" xfId="0" applyFont="1" applyFill="1" applyBorder="1" applyProtection="1"/>
    <xf numFmtId="3" fontId="8" fillId="29" borderId="0" xfId="0" applyNumberFormat="1" applyFont="1" applyFill="1" applyBorder="1" applyAlignment="1" applyProtection="1">
      <alignment horizontal="center"/>
    </xf>
    <xf numFmtId="3" fontId="8" fillId="29" borderId="57" xfId="0" applyNumberFormat="1" applyFont="1" applyFill="1" applyBorder="1" applyAlignment="1" applyProtection="1">
      <alignment horizontal="center"/>
    </xf>
    <xf numFmtId="3" fontId="5" fillId="29" borderId="48" xfId="0" applyNumberFormat="1" applyFont="1" applyFill="1" applyBorder="1" applyAlignment="1" applyProtection="1">
      <alignment horizontal="center"/>
    </xf>
    <xf numFmtId="3" fontId="5" fillId="29" borderId="50" xfId="0" applyNumberFormat="1" applyFont="1" applyFill="1" applyBorder="1" applyAlignment="1" applyProtection="1">
      <alignment horizontal="center"/>
    </xf>
    <xf numFmtId="3" fontId="5" fillId="29" borderId="49" xfId="0" applyNumberFormat="1" applyFont="1" applyFill="1" applyBorder="1" applyAlignment="1" applyProtection="1">
      <alignment horizontal="center"/>
    </xf>
    <xf numFmtId="10" fontId="8" fillId="29" borderId="29" xfId="1" applyNumberFormat="1" applyFont="1" applyFill="1" applyBorder="1" applyAlignment="1" applyProtection="1">
      <alignment horizontal="center"/>
    </xf>
    <xf numFmtId="3" fontId="8" fillId="29" borderId="33" xfId="0" applyNumberFormat="1" applyFont="1" applyFill="1" applyBorder="1" applyAlignment="1" applyProtection="1">
      <alignment horizontal="center"/>
    </xf>
    <xf numFmtId="3" fontId="8" fillId="29" borderId="37" xfId="0" applyNumberFormat="1" applyFont="1" applyFill="1" applyBorder="1" applyAlignment="1" applyProtection="1">
      <alignment horizontal="center"/>
    </xf>
    <xf numFmtId="3" fontId="8" fillId="29" borderId="30" xfId="0" applyNumberFormat="1" applyFont="1" applyFill="1" applyBorder="1" applyAlignment="1" applyProtection="1">
      <alignment horizontal="center"/>
    </xf>
    <xf numFmtId="3" fontId="8" fillId="29" borderId="67" xfId="0" applyNumberFormat="1" applyFont="1" applyFill="1" applyBorder="1" applyAlignment="1" applyProtection="1">
      <alignment horizontal="center"/>
    </xf>
    <xf numFmtId="0" fontId="8" fillId="29" borderId="70" xfId="0" applyFont="1" applyFill="1" applyBorder="1" applyProtection="1"/>
    <xf numFmtId="0" fontId="8" fillId="29" borderId="71" xfId="0" applyFont="1" applyFill="1" applyBorder="1" applyAlignment="1" applyProtection="1">
      <alignment horizontal="left"/>
    </xf>
    <xf numFmtId="0" fontId="8" fillId="29" borderId="72" xfId="0" applyFont="1" applyFill="1" applyBorder="1" applyProtection="1"/>
    <xf numFmtId="3" fontId="8" fillId="29" borderId="59" xfId="0" applyNumberFormat="1" applyFont="1" applyFill="1" applyBorder="1" applyAlignment="1" applyProtection="1">
      <alignment horizontal="center"/>
    </xf>
    <xf numFmtId="3" fontId="8" fillId="29" borderId="73" xfId="0" applyNumberFormat="1" applyFont="1" applyFill="1" applyBorder="1" applyAlignment="1" applyProtection="1">
      <alignment horizontal="center"/>
    </xf>
    <xf numFmtId="0" fontId="5" fillId="30" borderId="55" xfId="0" applyFont="1" applyFill="1" applyBorder="1" applyProtection="1"/>
    <xf numFmtId="3" fontId="5" fillId="30" borderId="34" xfId="0" applyNumberFormat="1" applyFont="1" applyFill="1" applyBorder="1" applyAlignment="1" applyProtection="1">
      <alignment horizontal="center"/>
    </xf>
    <xf numFmtId="3" fontId="5" fillId="30" borderId="35" xfId="0" applyNumberFormat="1" applyFont="1" applyFill="1" applyBorder="1" applyAlignment="1" applyProtection="1">
      <alignment horizontal="center"/>
    </xf>
    <xf numFmtId="3" fontId="5" fillId="30" borderId="36" xfId="0" applyNumberFormat="1" applyFont="1" applyFill="1" applyBorder="1" applyAlignment="1" applyProtection="1">
      <alignment horizontal="center"/>
    </xf>
    <xf numFmtId="3" fontId="5" fillId="30" borderId="62" xfId="0" applyNumberFormat="1" applyFont="1" applyFill="1" applyBorder="1" applyAlignment="1" applyProtection="1">
      <alignment horizontal="center"/>
    </xf>
    <xf numFmtId="0" fontId="5" fillId="30" borderId="59" xfId="0" applyFont="1" applyFill="1" applyBorder="1" applyProtection="1"/>
    <xf numFmtId="3" fontId="5" fillId="30" borderId="31" xfId="0" applyNumberFormat="1" applyFont="1" applyFill="1" applyBorder="1" applyAlignment="1" applyProtection="1">
      <alignment horizontal="center"/>
    </xf>
    <xf numFmtId="3" fontId="5" fillId="30" borderId="0" xfId="0" applyNumberFormat="1" applyFont="1" applyFill="1" applyBorder="1" applyAlignment="1" applyProtection="1">
      <alignment horizontal="center"/>
    </xf>
    <xf numFmtId="3" fontId="5" fillId="30" borderId="32" xfId="0" applyNumberFormat="1" applyFont="1" applyFill="1" applyBorder="1" applyAlignment="1" applyProtection="1">
      <alignment horizontal="center"/>
    </xf>
    <xf numFmtId="3" fontId="5" fillId="30" borderId="67" xfId="0" applyNumberFormat="1" applyFont="1" applyFill="1" applyBorder="1" applyAlignment="1" applyProtection="1">
      <alignment horizontal="center"/>
    </xf>
    <xf numFmtId="0" fontId="0" fillId="30" borderId="59" xfId="0" applyFont="1" applyFill="1" applyBorder="1" applyProtection="1"/>
    <xf numFmtId="3" fontId="5" fillId="30" borderId="21" xfId="0" applyNumberFormat="1" applyFont="1" applyFill="1" applyBorder="1" applyAlignment="1" applyProtection="1">
      <alignment horizontal="center"/>
    </xf>
    <xf numFmtId="3" fontId="5" fillId="30" borderId="20" xfId="0" applyNumberFormat="1" applyFont="1" applyFill="1" applyBorder="1" applyAlignment="1" applyProtection="1">
      <alignment horizontal="center"/>
    </xf>
    <xf numFmtId="3" fontId="5" fillId="30" borderId="38" xfId="0" applyNumberFormat="1" applyFont="1" applyFill="1" applyBorder="1" applyAlignment="1" applyProtection="1">
      <alignment horizontal="center"/>
    </xf>
    <xf numFmtId="0" fontId="8" fillId="30" borderId="55" xfId="0" applyFont="1" applyFill="1" applyBorder="1" applyAlignment="1" applyProtection="1">
      <alignment horizontal="left"/>
    </xf>
    <xf numFmtId="0" fontId="8" fillId="30" borderId="29" xfId="0" applyFont="1" applyFill="1" applyBorder="1" applyProtection="1"/>
    <xf numFmtId="3" fontId="8" fillId="30" borderId="0" xfId="0" applyNumberFormat="1" applyFont="1" applyFill="1" applyBorder="1" applyAlignment="1" applyProtection="1">
      <alignment horizontal="center"/>
    </xf>
    <xf numFmtId="3" fontId="8" fillId="30" borderId="57" xfId="0" applyNumberFormat="1" applyFont="1" applyFill="1" applyBorder="1" applyAlignment="1" applyProtection="1">
      <alignment horizontal="center"/>
    </xf>
    <xf numFmtId="10" fontId="8" fillId="30" borderId="29" xfId="1" applyNumberFormat="1" applyFont="1" applyFill="1" applyBorder="1" applyAlignment="1" applyProtection="1">
      <alignment horizontal="center"/>
    </xf>
    <xf numFmtId="0" fontId="8" fillId="30" borderId="55" xfId="0" applyFont="1" applyFill="1" applyBorder="1" applyProtection="1"/>
    <xf numFmtId="0" fontId="8" fillId="30" borderId="60" xfId="0" applyFont="1" applyFill="1" applyBorder="1" applyAlignment="1" applyProtection="1">
      <alignment horizontal="left"/>
    </xf>
    <xf numFmtId="0" fontId="8" fillId="30" borderId="68" xfId="0" applyFont="1" applyFill="1" applyBorder="1" applyProtection="1"/>
    <xf numFmtId="3" fontId="8" fillId="30" borderId="55" xfId="0" applyNumberFormat="1" applyFont="1" applyFill="1" applyBorder="1" applyAlignment="1" applyProtection="1">
      <alignment horizontal="center"/>
    </xf>
    <xf numFmtId="3" fontId="8" fillId="30" borderId="56" xfId="0" applyNumberFormat="1" applyFont="1" applyFill="1" applyBorder="1" applyAlignment="1" applyProtection="1">
      <alignment horizontal="center"/>
    </xf>
    <xf numFmtId="0" fontId="5" fillId="31" borderId="55" xfId="0" applyFont="1" applyFill="1" applyBorder="1" applyProtection="1"/>
    <xf numFmtId="3" fontId="5" fillId="31" borderId="34" xfId="0" applyNumberFormat="1" applyFont="1" applyFill="1" applyBorder="1" applyAlignment="1" applyProtection="1">
      <alignment horizontal="center"/>
    </xf>
    <xf numFmtId="3" fontId="5" fillId="31" borderId="35" xfId="0" applyNumberFormat="1" applyFont="1" applyFill="1" applyBorder="1" applyAlignment="1" applyProtection="1">
      <alignment horizontal="center"/>
    </xf>
    <xf numFmtId="3" fontId="5" fillId="31" borderId="36" xfId="0" applyNumberFormat="1" applyFont="1" applyFill="1" applyBorder="1" applyAlignment="1" applyProtection="1">
      <alignment horizontal="center"/>
    </xf>
    <xf numFmtId="3" fontId="5" fillId="31" borderId="62" xfId="0" applyNumberFormat="1" applyFont="1" applyFill="1" applyBorder="1" applyAlignment="1" applyProtection="1">
      <alignment horizontal="center"/>
    </xf>
    <xf numFmtId="0" fontId="5" fillId="31" borderId="59" xfId="0" applyFont="1" applyFill="1" applyBorder="1" applyProtection="1"/>
    <xf numFmtId="3" fontId="5" fillId="31" borderId="31" xfId="0" applyNumberFormat="1" applyFont="1" applyFill="1" applyBorder="1" applyAlignment="1" applyProtection="1">
      <alignment horizontal="center"/>
    </xf>
    <xf numFmtId="3" fontId="5" fillId="31" borderId="0" xfId="0" applyNumberFormat="1" applyFont="1" applyFill="1" applyBorder="1" applyAlignment="1" applyProtection="1">
      <alignment horizontal="center"/>
    </xf>
    <xf numFmtId="3" fontId="5" fillId="31" borderId="32" xfId="0" applyNumberFormat="1" applyFont="1" applyFill="1" applyBorder="1" applyAlignment="1" applyProtection="1">
      <alignment horizontal="center"/>
    </xf>
    <xf numFmtId="3" fontId="5" fillId="31" borderId="67" xfId="0" applyNumberFormat="1" applyFont="1" applyFill="1" applyBorder="1" applyAlignment="1" applyProtection="1">
      <alignment horizontal="center"/>
    </xf>
    <xf numFmtId="0" fontId="0" fillId="31" borderId="59" xfId="0" applyFont="1" applyFill="1" applyBorder="1" applyProtection="1"/>
    <xf numFmtId="3" fontId="5" fillId="31" borderId="21" xfId="0" applyNumberFormat="1" applyFont="1" applyFill="1" applyBorder="1" applyAlignment="1" applyProtection="1">
      <alignment horizontal="center"/>
    </xf>
    <xf numFmtId="3" fontId="5" fillId="31" borderId="20" xfId="0" applyNumberFormat="1" applyFont="1" applyFill="1" applyBorder="1" applyAlignment="1" applyProtection="1">
      <alignment horizontal="center"/>
    </xf>
    <xf numFmtId="3" fontId="5" fillId="31" borderId="38" xfId="0" applyNumberFormat="1" applyFont="1" applyFill="1" applyBorder="1" applyAlignment="1" applyProtection="1">
      <alignment horizontal="center"/>
    </xf>
    <xf numFmtId="0" fontId="8" fillId="31" borderId="55" xfId="0" applyFont="1" applyFill="1" applyBorder="1" applyAlignment="1" applyProtection="1">
      <alignment horizontal="left"/>
    </xf>
    <xf numFmtId="0" fontId="8" fillId="31" borderId="29" xfId="0" applyFont="1" applyFill="1" applyBorder="1" applyProtection="1"/>
    <xf numFmtId="3" fontId="8" fillId="31" borderId="0" xfId="0" applyNumberFormat="1" applyFont="1" applyFill="1" applyBorder="1" applyAlignment="1" applyProtection="1">
      <alignment horizontal="center"/>
    </xf>
    <xf numFmtId="3" fontId="8" fillId="31" borderId="57" xfId="0" applyNumberFormat="1" applyFont="1" applyFill="1" applyBorder="1" applyAlignment="1" applyProtection="1">
      <alignment horizontal="center"/>
    </xf>
    <xf numFmtId="10" fontId="8" fillId="31" borderId="29" xfId="1" applyNumberFormat="1" applyFont="1" applyFill="1" applyBorder="1" applyAlignment="1" applyProtection="1">
      <alignment horizontal="center"/>
    </xf>
    <xf numFmtId="0" fontId="8" fillId="31" borderId="55" xfId="0" applyFont="1" applyFill="1" applyBorder="1" applyProtection="1"/>
    <xf numFmtId="0" fontId="8" fillId="31" borderId="60" xfId="0" applyFont="1" applyFill="1" applyBorder="1" applyAlignment="1" applyProtection="1">
      <alignment horizontal="left"/>
    </xf>
    <xf numFmtId="0" fontId="8" fillId="31" borderId="68" xfId="0" applyFont="1" applyFill="1" applyBorder="1" applyProtection="1"/>
    <xf numFmtId="3" fontId="8" fillId="31" borderId="55" xfId="0" applyNumberFormat="1" applyFont="1" applyFill="1" applyBorder="1" applyAlignment="1" applyProtection="1">
      <alignment horizontal="center"/>
    </xf>
    <xf numFmtId="3" fontId="8" fillId="31" borderId="56" xfId="0" applyNumberFormat="1" applyFont="1" applyFill="1" applyBorder="1" applyAlignment="1" applyProtection="1">
      <alignment horizontal="center"/>
    </xf>
    <xf numFmtId="0" fontId="5" fillId="32" borderId="75" xfId="0" applyFont="1" applyFill="1" applyBorder="1" applyProtection="1"/>
    <xf numFmtId="3" fontId="5" fillId="32" borderId="34" xfId="0" applyNumberFormat="1" applyFont="1" applyFill="1" applyBorder="1" applyAlignment="1" applyProtection="1">
      <alignment horizontal="center"/>
    </xf>
    <xf numFmtId="3" fontId="5" fillId="32" borderId="35" xfId="0" applyNumberFormat="1" applyFont="1" applyFill="1" applyBorder="1" applyAlignment="1" applyProtection="1">
      <alignment horizontal="center"/>
    </xf>
    <xf numFmtId="3" fontId="5" fillId="32" borderId="36" xfId="0" applyNumberFormat="1" applyFont="1" applyFill="1" applyBorder="1" applyAlignment="1" applyProtection="1">
      <alignment horizontal="center"/>
    </xf>
    <xf numFmtId="0" fontId="5" fillId="32" borderId="59" xfId="0" applyFont="1" applyFill="1" applyBorder="1" applyProtection="1"/>
    <xf numFmtId="3" fontId="5" fillId="32" borderId="31" xfId="0" applyNumberFormat="1" applyFont="1" applyFill="1" applyBorder="1" applyAlignment="1" applyProtection="1">
      <alignment horizontal="center"/>
    </xf>
    <xf numFmtId="3" fontId="5" fillId="32" borderId="0" xfId="0" applyNumberFormat="1" applyFont="1" applyFill="1" applyBorder="1" applyAlignment="1" applyProtection="1">
      <alignment horizontal="center"/>
    </xf>
    <xf numFmtId="3" fontId="5" fillId="32" borderId="32" xfId="0" applyNumberFormat="1" applyFont="1" applyFill="1" applyBorder="1" applyAlignment="1" applyProtection="1">
      <alignment horizontal="center"/>
    </xf>
    <xf numFmtId="0" fontId="0" fillId="32" borderId="59" xfId="0" applyFont="1" applyFill="1" applyBorder="1" applyProtection="1"/>
    <xf numFmtId="3" fontId="5" fillId="32" borderId="21" xfId="0" applyNumberFormat="1" applyFont="1" applyFill="1" applyBorder="1" applyAlignment="1" applyProtection="1">
      <alignment horizontal="center"/>
    </xf>
    <xf numFmtId="3" fontId="5" fillId="32" borderId="20" xfId="0" applyNumberFormat="1" applyFont="1" applyFill="1" applyBorder="1" applyAlignment="1" applyProtection="1">
      <alignment horizontal="center"/>
    </xf>
    <xf numFmtId="3" fontId="5" fillId="32" borderId="38" xfId="0" applyNumberFormat="1" applyFont="1" applyFill="1" applyBorder="1" applyAlignment="1" applyProtection="1">
      <alignment horizontal="center"/>
    </xf>
    <xf numFmtId="0" fontId="8" fillId="32" borderId="55" xfId="0" applyFont="1" applyFill="1" applyBorder="1" applyAlignment="1" applyProtection="1">
      <alignment horizontal="left"/>
    </xf>
    <xf numFmtId="0" fontId="8" fillId="32" borderId="29" xfId="0" applyFont="1" applyFill="1" applyBorder="1" applyProtection="1"/>
    <xf numFmtId="3" fontId="8" fillId="32" borderId="0" xfId="0" applyNumberFormat="1" applyFont="1" applyFill="1" applyBorder="1" applyAlignment="1" applyProtection="1">
      <alignment horizontal="center"/>
    </xf>
    <xf numFmtId="3" fontId="8" fillId="32" borderId="77" xfId="0" applyNumberFormat="1" applyFont="1" applyFill="1" applyBorder="1" applyAlignment="1" applyProtection="1">
      <alignment horizontal="center"/>
    </xf>
    <xf numFmtId="3" fontId="5" fillId="32" borderId="78" xfId="0" applyNumberFormat="1" applyFont="1" applyFill="1" applyBorder="1" applyAlignment="1" applyProtection="1">
      <alignment horizontal="center"/>
    </xf>
    <xf numFmtId="10" fontId="8" fillId="32" borderId="29" xfId="1" applyNumberFormat="1" applyFont="1" applyFill="1" applyBorder="1" applyAlignment="1" applyProtection="1">
      <alignment horizontal="center"/>
    </xf>
    <xf numFmtId="0" fontId="8" fillId="32" borderId="80" xfId="0" applyFont="1" applyFill="1" applyBorder="1" applyProtection="1"/>
    <xf numFmtId="0" fontId="8" fillId="32" borderId="71" xfId="0" applyFont="1" applyFill="1" applyBorder="1" applyAlignment="1" applyProtection="1">
      <alignment horizontal="left"/>
    </xf>
    <xf numFmtId="0" fontId="8" fillId="32" borderId="72" xfId="0" applyFont="1" applyFill="1" applyBorder="1" applyProtection="1"/>
    <xf numFmtId="3" fontId="8" fillId="32" borderId="55" xfId="0" applyNumberFormat="1" applyFont="1" applyFill="1" applyBorder="1" applyAlignment="1" applyProtection="1">
      <alignment horizontal="center"/>
    </xf>
    <xf numFmtId="3" fontId="8" fillId="32" borderId="56" xfId="0" applyNumberFormat="1" applyFont="1" applyFill="1" applyBorder="1" applyAlignment="1" applyProtection="1">
      <alignment horizontal="center"/>
    </xf>
    <xf numFmtId="3" fontId="8" fillId="32" borderId="81" xfId="0" applyNumberFormat="1" applyFont="1" applyFill="1" applyBorder="1" applyAlignment="1" applyProtection="1">
      <alignment horizontal="center"/>
    </xf>
    <xf numFmtId="0" fontId="5" fillId="33" borderId="75" xfId="0" applyFont="1" applyFill="1" applyBorder="1" applyProtection="1"/>
    <xf numFmtId="3" fontId="5" fillId="33" borderId="34" xfId="0" applyNumberFormat="1" applyFont="1" applyFill="1" applyBorder="1" applyAlignment="1" applyProtection="1">
      <alignment horizontal="center"/>
    </xf>
    <xf numFmtId="3" fontId="5" fillId="33" borderId="35" xfId="0" applyNumberFormat="1" applyFont="1" applyFill="1" applyBorder="1" applyAlignment="1" applyProtection="1">
      <alignment horizontal="center"/>
    </xf>
    <xf numFmtId="3" fontId="5" fillId="33" borderId="36" xfId="0" applyNumberFormat="1" applyFont="1" applyFill="1" applyBorder="1" applyAlignment="1" applyProtection="1">
      <alignment horizontal="center"/>
    </xf>
    <xf numFmtId="0" fontId="5" fillId="33" borderId="59" xfId="0" applyFont="1" applyFill="1" applyBorder="1" applyProtection="1"/>
    <xf numFmtId="3" fontId="5" fillId="33" borderId="31" xfId="0" applyNumberFormat="1" applyFont="1" applyFill="1" applyBorder="1" applyAlignment="1" applyProtection="1">
      <alignment horizontal="center"/>
    </xf>
    <xf numFmtId="3" fontId="5" fillId="33" borderId="0" xfId="0" applyNumberFormat="1" applyFont="1" applyFill="1" applyBorder="1" applyAlignment="1" applyProtection="1">
      <alignment horizontal="center"/>
    </xf>
    <xf numFmtId="3" fontId="5" fillId="33" borderId="32" xfId="0" applyNumberFormat="1" applyFont="1" applyFill="1" applyBorder="1" applyAlignment="1" applyProtection="1">
      <alignment horizontal="center"/>
    </xf>
    <xf numFmtId="0" fontId="0" fillId="33" borderId="59" xfId="0" applyFont="1" applyFill="1" applyBorder="1" applyProtection="1"/>
    <xf numFmtId="3" fontId="5" fillId="33" borderId="21" xfId="0" applyNumberFormat="1" applyFont="1" applyFill="1" applyBorder="1" applyAlignment="1" applyProtection="1">
      <alignment horizontal="center"/>
    </xf>
    <xf numFmtId="3" fontId="5" fillId="33" borderId="20" xfId="0" applyNumberFormat="1" applyFont="1" applyFill="1" applyBorder="1" applyAlignment="1" applyProtection="1">
      <alignment horizontal="center"/>
    </xf>
    <xf numFmtId="3" fontId="5" fillId="33" borderId="38" xfId="0" applyNumberFormat="1" applyFont="1" applyFill="1" applyBorder="1" applyAlignment="1" applyProtection="1">
      <alignment horizontal="center"/>
    </xf>
    <xf numFmtId="0" fontId="8" fillId="33" borderId="55" xfId="0" applyFont="1" applyFill="1" applyBorder="1" applyAlignment="1" applyProtection="1">
      <alignment horizontal="left"/>
    </xf>
    <xf numFmtId="0" fontId="8" fillId="33" borderId="29" xfId="0" applyFont="1" applyFill="1" applyBorder="1" applyProtection="1"/>
    <xf numFmtId="3" fontId="8" fillId="33" borderId="0" xfId="0" applyNumberFormat="1" applyFont="1" applyFill="1" applyBorder="1" applyAlignment="1" applyProtection="1">
      <alignment horizontal="center"/>
    </xf>
    <xf numFmtId="3" fontId="8" fillId="33" borderId="77" xfId="0" applyNumberFormat="1" applyFont="1" applyFill="1" applyBorder="1" applyAlignment="1" applyProtection="1">
      <alignment horizontal="center"/>
    </xf>
    <xf numFmtId="3" fontId="5" fillId="33" borderId="78" xfId="0" applyNumberFormat="1" applyFont="1" applyFill="1" applyBorder="1" applyAlignment="1" applyProtection="1">
      <alignment horizontal="center"/>
    </xf>
    <xf numFmtId="10" fontId="8" fillId="33" borderId="29" xfId="1" applyNumberFormat="1" applyFont="1" applyFill="1" applyBorder="1" applyAlignment="1" applyProtection="1">
      <alignment horizontal="center"/>
    </xf>
    <xf numFmtId="0" fontId="8" fillId="33" borderId="80" xfId="0" applyFont="1" applyFill="1" applyBorder="1" applyProtection="1"/>
    <xf numFmtId="0" fontId="8" fillId="33" borderId="71" xfId="0" applyFont="1" applyFill="1" applyBorder="1" applyAlignment="1" applyProtection="1">
      <alignment horizontal="left"/>
    </xf>
    <xf numFmtId="0" fontId="8" fillId="33" borderId="72" xfId="0" applyFont="1" applyFill="1" applyBorder="1" applyProtection="1"/>
    <xf numFmtId="3" fontId="8" fillId="33" borderId="55" xfId="0" applyNumberFormat="1" applyFont="1" applyFill="1" applyBorder="1" applyAlignment="1" applyProtection="1">
      <alignment horizontal="center"/>
    </xf>
    <xf numFmtId="3" fontId="8" fillId="33" borderId="56" xfId="0" applyNumberFormat="1" applyFont="1" applyFill="1" applyBorder="1" applyAlignment="1" applyProtection="1">
      <alignment horizontal="center"/>
    </xf>
    <xf numFmtId="3" fontId="8" fillId="33" borderId="81" xfId="0" applyNumberFormat="1" applyFont="1" applyFill="1" applyBorder="1" applyAlignment="1" applyProtection="1">
      <alignment horizontal="center"/>
    </xf>
    <xf numFmtId="0" fontId="8" fillId="0" borderId="82" xfId="0" applyFont="1" applyBorder="1" applyAlignment="1" applyProtection="1">
      <alignment vertical="center" wrapText="1"/>
    </xf>
    <xf numFmtId="0" fontId="8" fillId="0" borderId="29" xfId="0" applyFont="1" applyBorder="1" applyAlignment="1" applyProtection="1">
      <alignment horizontal="left" vertical="center"/>
    </xf>
    <xf numFmtId="0" fontId="8" fillId="0" borderId="83" xfId="0" applyFont="1" applyBorder="1" applyAlignment="1" applyProtection="1">
      <alignment vertical="center"/>
    </xf>
    <xf numFmtId="3" fontId="8" fillId="3" borderId="34" xfId="0" applyNumberFormat="1" applyFont="1" applyFill="1" applyBorder="1" applyAlignment="1" applyProtection="1">
      <alignment horizontal="center" vertical="center"/>
    </xf>
    <xf numFmtId="3" fontId="8" fillId="3" borderId="35" xfId="0" applyNumberFormat="1" applyFont="1" applyFill="1" applyBorder="1" applyAlignment="1" applyProtection="1">
      <alignment horizontal="center" vertical="center"/>
    </xf>
    <xf numFmtId="3" fontId="8" fillId="3" borderId="36" xfId="0" applyNumberFormat="1" applyFont="1" applyFill="1" applyBorder="1" applyAlignment="1" applyProtection="1">
      <alignment horizontal="center" vertical="center"/>
    </xf>
    <xf numFmtId="3" fontId="8" fillId="3" borderId="30" xfId="0" applyNumberFormat="1" applyFont="1" applyFill="1" applyBorder="1" applyAlignment="1" applyProtection="1">
      <alignment horizontal="center" vertical="center"/>
    </xf>
    <xf numFmtId="0" fontId="8" fillId="0" borderId="80" xfId="0" applyFont="1" applyBorder="1" applyAlignment="1" applyProtection="1">
      <alignment vertical="center" wrapText="1"/>
    </xf>
    <xf numFmtId="10" fontId="8" fillId="0" borderId="84" xfId="1" applyNumberFormat="1" applyFont="1" applyBorder="1" applyAlignment="1" applyProtection="1">
      <alignment horizontal="center" vertical="center"/>
    </xf>
    <xf numFmtId="3" fontId="8" fillId="3" borderId="33" xfId="0" applyNumberFormat="1" applyFont="1" applyFill="1" applyBorder="1" applyAlignment="1" applyProtection="1">
      <alignment horizontal="center" vertical="center"/>
    </xf>
    <xf numFmtId="3" fontId="8" fillId="3" borderId="37" xfId="0" applyNumberFormat="1" applyFont="1" applyFill="1" applyBorder="1" applyAlignment="1" applyProtection="1">
      <alignment horizontal="center" vertical="center"/>
    </xf>
    <xf numFmtId="0" fontId="8" fillId="4" borderId="85" xfId="0" applyFont="1" applyFill="1" applyBorder="1" applyProtection="1"/>
    <xf numFmtId="0" fontId="8" fillId="4" borderId="86" xfId="0" applyFont="1" applyFill="1" applyBorder="1" applyAlignment="1" applyProtection="1">
      <alignment horizontal="left"/>
    </xf>
    <xf numFmtId="0" fontId="8" fillId="4" borderId="86" xfId="0" applyFont="1" applyFill="1" applyBorder="1" applyProtection="1"/>
    <xf numFmtId="3" fontId="8" fillId="4" borderId="21" xfId="0" applyNumberFormat="1" applyFont="1" applyFill="1" applyBorder="1" applyAlignment="1" applyProtection="1">
      <alignment horizontal="center"/>
    </xf>
    <xf numFmtId="3" fontId="8" fillId="4" borderId="20" xfId="0" applyNumberFormat="1" applyFont="1" applyFill="1" applyBorder="1" applyAlignment="1" applyProtection="1">
      <alignment horizontal="center"/>
    </xf>
    <xf numFmtId="3" fontId="8" fillId="4" borderId="29" xfId="0" applyNumberFormat="1" applyFont="1" applyFill="1" applyBorder="1" applyAlignment="1" applyProtection="1">
      <alignment horizontal="center"/>
    </xf>
    <xf numFmtId="0" fontId="8" fillId="0" borderId="29" xfId="0" applyFont="1" applyFill="1" applyBorder="1" applyAlignment="1" applyProtection="1">
      <alignment horizontal="center"/>
    </xf>
    <xf numFmtId="194" fontId="5" fillId="0" borderId="5" xfId="212" applyNumberFormat="1" applyFont="1" applyFill="1" applyBorder="1" applyAlignment="1" applyProtection="1">
      <alignment horizontal="center" vertical="center"/>
    </xf>
    <xf numFmtId="0" fontId="16" fillId="0" borderId="0" xfId="98" applyFont="1" applyAlignment="1" applyProtection="1">
      <alignment vertical="center"/>
      <protection locked="0"/>
    </xf>
    <xf numFmtId="0" fontId="8" fillId="0" borderId="0" xfId="98" applyFont="1" applyAlignment="1" applyProtection="1">
      <alignment vertical="center"/>
    </xf>
    <xf numFmtId="0" fontId="16" fillId="0" borderId="0" xfId="98" applyFont="1" applyAlignment="1" applyProtection="1">
      <alignment vertical="center"/>
    </xf>
    <xf numFmtId="0" fontId="5" fillId="0" borderId="5" xfId="98" applyFont="1" applyBorder="1" applyAlignment="1" applyProtection="1">
      <alignment horizontal="center" vertical="center" wrapText="1"/>
    </xf>
    <xf numFmtId="0" fontId="0" fillId="0" borderId="5" xfId="98" applyFont="1" applyBorder="1" applyAlignment="1" applyProtection="1">
      <alignment horizontal="left" vertical="center" wrapText="1"/>
    </xf>
    <xf numFmtId="0" fontId="13" fillId="6" borderId="5" xfId="98" applyFont="1" applyFill="1" applyBorder="1" applyAlignment="1" applyProtection="1">
      <alignment horizontal="center" vertical="center" wrapText="1"/>
    </xf>
    <xf numFmtId="0" fontId="0" fillId="0" borderId="5" xfId="98" applyFont="1" applyBorder="1" applyAlignment="1" applyProtection="1">
      <alignment horizontal="center" vertical="center" wrapText="1"/>
    </xf>
    <xf numFmtId="0" fontId="16" fillId="0" borderId="0" xfId="98" applyFont="1" applyBorder="1" applyAlignment="1" applyProtection="1">
      <alignment horizontal="center" vertical="center" wrapText="1"/>
    </xf>
    <xf numFmtId="0" fontId="16" fillId="0" borderId="0" xfId="98" applyFont="1" applyBorder="1" applyAlignment="1" applyProtection="1">
      <alignment horizontal="left" vertical="center" wrapText="1"/>
    </xf>
    <xf numFmtId="0" fontId="53" fillId="0" borderId="0" xfId="98" applyFont="1" applyBorder="1" applyAlignment="1" applyProtection="1">
      <alignment horizontal="center" vertical="center" wrapText="1"/>
    </xf>
    <xf numFmtId="0" fontId="45" fillId="0" borderId="0" xfId="98" applyFont="1" applyBorder="1" applyAlignment="1" applyProtection="1">
      <alignment horizontal="center" vertical="center" wrapText="1"/>
    </xf>
    <xf numFmtId="4" fontId="8" fillId="0" borderId="5" xfId="98" applyNumberFormat="1" applyFont="1" applyFill="1" applyBorder="1" applyAlignment="1" applyProtection="1">
      <alignment horizontal="center" vertical="center" wrapText="1"/>
    </xf>
    <xf numFmtId="0" fontId="5" fillId="0" borderId="5" xfId="98" applyFont="1" applyBorder="1" applyAlignment="1" applyProtection="1">
      <alignment horizontal="left" vertical="center" wrapText="1"/>
    </xf>
    <xf numFmtId="3" fontId="8" fillId="0" borderId="5" xfId="98" applyNumberFormat="1" applyFont="1" applyFill="1" applyBorder="1" applyAlignment="1" applyProtection="1">
      <alignment horizontal="center" vertical="center" wrapText="1"/>
    </xf>
    <xf numFmtId="0" fontId="5" fillId="0" borderId="0" xfId="98" applyFont="1" applyAlignment="1" applyProtection="1">
      <alignment vertical="center"/>
    </xf>
    <xf numFmtId="0" fontId="5" fillId="0" borderId="0" xfId="98" applyFont="1" applyFill="1" applyAlignment="1" applyProtection="1">
      <alignment vertical="center"/>
    </xf>
    <xf numFmtId="0" fontId="16" fillId="0" borderId="0" xfId="98" applyFont="1" applyFill="1" applyAlignment="1" applyProtection="1">
      <alignment vertical="center"/>
    </xf>
    <xf numFmtId="4" fontId="5" fillId="0" borderId="5" xfId="98" applyNumberFormat="1" applyFont="1" applyFill="1" applyBorder="1" applyAlignment="1" applyProtection="1">
      <alignment horizontal="center" vertical="center"/>
    </xf>
    <xf numFmtId="0" fontId="5" fillId="0" borderId="5" xfId="98" applyFont="1" applyFill="1" applyBorder="1" applyAlignment="1" applyProtection="1">
      <alignment horizontal="center" vertical="center"/>
    </xf>
    <xf numFmtId="4" fontId="8" fillId="0" borderId="5" xfId="98" applyNumberFormat="1" applyFont="1" applyFill="1" applyBorder="1" applyAlignment="1" applyProtection="1">
      <alignment horizontal="center" vertical="center"/>
    </xf>
    <xf numFmtId="192" fontId="8" fillId="0" borderId="5" xfId="98" applyNumberFormat="1" applyFont="1" applyFill="1" applyBorder="1" applyAlignment="1" applyProtection="1">
      <alignment horizontal="center" vertical="center"/>
    </xf>
    <xf numFmtId="0" fontId="8" fillId="0" borderId="0" xfId="98" applyFont="1" applyAlignment="1" applyProtection="1">
      <alignment horizontal="center" vertical="center"/>
    </xf>
    <xf numFmtId="0" fontId="53" fillId="0" borderId="0" xfId="98" applyFont="1" applyFill="1" applyAlignment="1" applyProtection="1">
      <alignment vertical="center"/>
    </xf>
    <xf numFmtId="195" fontId="5" fillId="0" borderId="5" xfId="212" applyNumberFormat="1" applyFont="1" applyFill="1" applyBorder="1" applyAlignment="1" applyProtection="1">
      <alignment horizontal="center" vertical="center"/>
    </xf>
    <xf numFmtId="49" fontId="0" fillId="0" borderId="5" xfId="98" applyNumberFormat="1" applyFont="1" applyBorder="1" applyAlignment="1" applyProtection="1">
      <alignment horizontal="center" vertical="center" wrapText="1"/>
    </xf>
    <xf numFmtId="10" fontId="8" fillId="0" borderId="5" xfId="98" applyNumberFormat="1" applyFont="1" applyFill="1" applyBorder="1" applyAlignment="1" applyProtection="1">
      <alignment horizontal="center" vertical="center" wrapText="1"/>
    </xf>
    <xf numFmtId="192" fontId="5" fillId="0" borderId="5" xfId="98" applyNumberFormat="1" applyFont="1" applyFill="1" applyBorder="1" applyAlignment="1" applyProtection="1">
      <alignment horizontal="center" vertical="center"/>
    </xf>
    <xf numFmtId="0" fontId="32" fillId="0" borderId="0" xfId="100"/>
    <xf numFmtId="0" fontId="0" fillId="0" borderId="0" xfId="0" applyAlignment="1">
      <alignment horizontal="left"/>
    </xf>
    <xf numFmtId="0" fontId="32" fillId="0" borderId="0" xfId="100" applyAlignment="1">
      <alignment horizontal="right"/>
    </xf>
    <xf numFmtId="4" fontId="32" fillId="0" borderId="0" xfId="100" applyNumberFormat="1"/>
    <xf numFmtId="4" fontId="5" fillId="0" borderId="0" xfId="98" applyNumberFormat="1" applyFont="1" applyFill="1" applyAlignment="1" applyProtection="1">
      <alignment vertical="center"/>
    </xf>
    <xf numFmtId="0" fontId="45" fillId="4" borderId="0" xfId="98" applyFont="1" applyFill="1" applyAlignment="1" applyProtection="1">
      <alignment vertical="center"/>
    </xf>
    <xf numFmtId="0" fontId="32" fillId="0" borderId="0" xfId="100" applyProtection="1"/>
    <xf numFmtId="0" fontId="32" fillId="0" borderId="0" xfId="100" applyAlignment="1" applyProtection="1">
      <alignment horizontal="right"/>
    </xf>
    <xf numFmtId="0" fontId="0" fillId="4" borderId="0" xfId="0" applyFill="1" applyProtection="1"/>
    <xf numFmtId="0" fontId="0" fillId="0" borderId="0" xfId="0" applyAlignment="1" applyProtection="1">
      <alignment horizontal="left"/>
    </xf>
    <xf numFmtId="0" fontId="8" fillId="0" borderId="29" xfId="0" applyFont="1" applyBorder="1" applyAlignment="1" applyProtection="1">
      <alignment horizontal="left"/>
    </xf>
    <xf numFmtId="17" fontId="0" fillId="0" borderId="29" xfId="0" applyNumberFormat="1" applyBorder="1" applyAlignment="1" applyProtection="1">
      <alignment horizontal="left"/>
    </xf>
    <xf numFmtId="43" fontId="0" fillId="0" borderId="29" xfId="215" applyFont="1" applyFill="1" applyBorder="1" applyProtection="1"/>
    <xf numFmtId="43" fontId="8" fillId="0" borderId="29" xfId="0" applyNumberFormat="1" applyFont="1" applyFill="1" applyBorder="1" applyProtection="1"/>
    <xf numFmtId="43" fontId="8" fillId="0" borderId="29" xfId="215" applyFont="1" applyFill="1" applyBorder="1" applyProtection="1"/>
    <xf numFmtId="0" fontId="8" fillId="0" borderId="29" xfId="0" applyFont="1" applyBorder="1" applyAlignment="1" applyProtection="1">
      <alignment horizontal="left" wrapText="1"/>
    </xf>
    <xf numFmtId="43" fontId="8" fillId="0" borderId="29" xfId="0" applyNumberFormat="1" applyFont="1" applyFill="1" applyBorder="1" applyAlignment="1" applyProtection="1">
      <alignment vertical="center"/>
    </xf>
    <xf numFmtId="0" fontId="8" fillId="0" borderId="0" xfId="0" applyFont="1" applyAlignment="1" applyProtection="1">
      <alignment horizontal="left"/>
    </xf>
    <xf numFmtId="0" fontId="55" fillId="0" borderId="0" xfId="0" applyFont="1" applyBorder="1" applyAlignment="1" applyProtection="1">
      <alignment horizontal="left"/>
    </xf>
    <xf numFmtId="43" fontId="56" fillId="0" borderId="0" xfId="0" applyNumberFormat="1" applyFont="1" applyBorder="1" applyProtection="1"/>
    <xf numFmtId="0" fontId="32" fillId="4" borderId="0" xfId="100" applyFill="1" applyAlignment="1" applyProtection="1">
      <alignment horizontal="right"/>
    </xf>
    <xf numFmtId="0" fontId="32" fillId="4" borderId="0" xfId="100" applyFill="1" applyProtection="1"/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right" wrapText="1"/>
    </xf>
    <xf numFmtId="4" fontId="0" fillId="0" borderId="0" xfId="0" applyNumberFormat="1" applyProtection="1"/>
    <xf numFmtId="0" fontId="0" fillId="0" borderId="0" xfId="0" applyAlignment="1" applyProtection="1">
      <alignment horizontal="left" indent="1"/>
    </xf>
    <xf numFmtId="0" fontId="54" fillId="0" borderId="0" xfId="100" applyFont="1" applyProtection="1"/>
    <xf numFmtId="4" fontId="0" fillId="0" borderId="0" xfId="0" applyNumberFormat="1" applyAlignment="1" applyProtection="1">
      <alignment horizontal="right"/>
    </xf>
    <xf numFmtId="0" fontId="16" fillId="4" borderId="0" xfId="98" applyFont="1" applyFill="1" applyAlignment="1" applyProtection="1">
      <alignment vertical="center"/>
    </xf>
    <xf numFmtId="0" fontId="8" fillId="0" borderId="0" xfId="98" applyFont="1" applyFill="1" applyBorder="1" applyAlignment="1" applyProtection="1">
      <alignment horizontal="left" vertical="center"/>
    </xf>
    <xf numFmtId="194" fontId="8" fillId="0" borderId="0" xfId="212" applyNumberFormat="1" applyFont="1" applyFill="1" applyBorder="1" applyAlignment="1" applyProtection="1">
      <alignment horizontal="center" vertical="center"/>
    </xf>
    <xf numFmtId="0" fontId="8" fillId="0" borderId="0" xfId="98" applyFont="1" applyFill="1" applyBorder="1" applyAlignment="1" applyProtection="1">
      <alignment vertical="center"/>
    </xf>
    <xf numFmtId="0" fontId="57" fillId="0" borderId="34" xfId="98" applyFont="1" applyBorder="1" applyAlignment="1" applyProtection="1">
      <alignment horizontal="center" vertical="center"/>
    </xf>
    <xf numFmtId="0" fontId="57" fillId="0" borderId="35" xfId="98" applyFont="1" applyBorder="1" applyAlignment="1" applyProtection="1">
      <alignment horizontal="center" vertical="center"/>
    </xf>
    <xf numFmtId="196" fontId="57" fillId="0" borderId="36" xfId="98" applyNumberFormat="1" applyFont="1" applyBorder="1" applyAlignment="1" applyProtection="1">
      <alignment horizontal="center" vertical="center"/>
    </xf>
    <xf numFmtId="0" fontId="57" fillId="0" borderId="31" xfId="98" applyFont="1" applyBorder="1" applyAlignment="1" applyProtection="1">
      <alignment horizontal="center" vertical="center"/>
    </xf>
    <xf numFmtId="0" fontId="57" fillId="0" borderId="0" xfId="98" applyFont="1" applyBorder="1" applyAlignment="1" applyProtection="1">
      <alignment horizontal="center" vertical="center"/>
    </xf>
    <xf numFmtId="196" fontId="57" fillId="0" borderId="32" xfId="98" applyNumberFormat="1" applyFont="1" applyBorder="1" applyAlignment="1" applyProtection="1">
      <alignment horizontal="center" vertical="center"/>
    </xf>
    <xf numFmtId="0" fontId="57" fillId="0" borderId="21" xfId="98" applyFont="1" applyBorder="1" applyAlignment="1" applyProtection="1">
      <alignment horizontal="center" vertical="center"/>
    </xf>
    <xf numFmtId="0" fontId="57" fillId="0" borderId="20" xfId="98" applyFont="1" applyBorder="1" applyAlignment="1" applyProtection="1">
      <alignment horizontal="center" vertical="center"/>
    </xf>
    <xf numFmtId="196" fontId="57" fillId="0" borderId="38" xfId="98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vertical="center"/>
    </xf>
    <xf numFmtId="10" fontId="0" fillId="0" borderId="0" xfId="1" applyNumberFormat="1" applyFont="1" applyAlignment="1" applyProtection="1">
      <alignment vertical="center"/>
    </xf>
    <xf numFmtId="3" fontId="0" fillId="0" borderId="0" xfId="0" applyNumberFormat="1" applyProtection="1"/>
    <xf numFmtId="4" fontId="0" fillId="0" borderId="0" xfId="0" applyNumberFormat="1" applyAlignment="1" applyProtection="1">
      <alignment vertical="center"/>
    </xf>
    <xf numFmtId="0" fontId="13" fillId="6" borderId="0" xfId="0" applyFont="1" applyFill="1" applyProtection="1"/>
    <xf numFmtId="0" fontId="17" fillId="6" borderId="0" xfId="0" applyFont="1" applyFill="1" applyProtection="1"/>
    <xf numFmtId="4" fontId="13" fillId="6" borderId="0" xfId="0" applyNumberFormat="1" applyFont="1" applyFill="1" applyProtection="1"/>
    <xf numFmtId="0" fontId="46" fillId="0" borderId="0" xfId="0" applyFont="1" applyProtection="1"/>
    <xf numFmtId="0" fontId="8" fillId="0" borderId="33" xfId="0" applyFont="1" applyBorder="1" applyAlignment="1" applyProtection="1">
      <alignment horizontal="center"/>
    </xf>
    <xf numFmtId="0" fontId="8" fillId="0" borderId="37" xfId="0" applyFont="1" applyBorder="1" applyAlignment="1" applyProtection="1">
      <alignment horizontal="center"/>
    </xf>
    <xf numFmtId="0" fontId="8" fillId="0" borderId="30" xfId="0" applyFont="1" applyBorder="1" applyAlignment="1" applyProtection="1">
      <alignment horizontal="center"/>
    </xf>
    <xf numFmtId="0" fontId="6" fillId="4" borderId="0" xfId="10" applyFont="1" applyFill="1" applyAlignment="1" applyProtection="1">
      <alignment horizontal="left" vertical="center"/>
    </xf>
    <xf numFmtId="164" fontId="48" fillId="6" borderId="1" xfId="1" applyNumberFormat="1" applyFont="1" applyFill="1" applyBorder="1" applyAlignment="1" applyProtection="1">
      <alignment horizontal="center" vertical="center"/>
    </xf>
    <xf numFmtId="164" fontId="48" fillId="6" borderId="2" xfId="1" applyNumberFormat="1" applyFont="1" applyFill="1" applyBorder="1" applyAlignment="1" applyProtection="1">
      <alignment horizontal="center" vertical="center"/>
    </xf>
    <xf numFmtId="49" fontId="5" fillId="0" borderId="29" xfId="10" applyNumberFormat="1" applyFont="1" applyFill="1" applyBorder="1" applyAlignment="1" applyProtection="1">
      <alignment horizontal="right" vertical="center" wrapText="1"/>
    </xf>
    <xf numFmtId="49" fontId="0" fillId="0" borderId="48" xfId="10" applyNumberFormat="1" applyFont="1" applyFill="1" applyBorder="1" applyAlignment="1" applyProtection="1">
      <alignment horizontal="center" vertical="center" wrapText="1"/>
    </xf>
    <xf numFmtId="49" fontId="0" fillId="0" borderId="50" xfId="10" applyNumberFormat="1" applyFont="1" applyFill="1" applyBorder="1" applyAlignment="1" applyProtection="1">
      <alignment horizontal="center" vertical="center" wrapText="1"/>
    </xf>
    <xf numFmtId="49" fontId="0" fillId="0" borderId="49" xfId="10" applyNumberFormat="1" applyFont="1" applyFill="1" applyBorder="1" applyAlignment="1" applyProtection="1">
      <alignment horizontal="center" vertical="center" wrapText="1"/>
    </xf>
    <xf numFmtId="49" fontId="0" fillId="3" borderId="48" xfId="10" applyNumberFormat="1" applyFont="1" applyFill="1" applyBorder="1" applyAlignment="1" applyProtection="1">
      <alignment horizontal="center" vertical="center" wrapText="1"/>
    </xf>
    <xf numFmtId="49" fontId="0" fillId="3" borderId="50" xfId="10" applyNumberFormat="1" applyFont="1" applyFill="1" applyBorder="1" applyAlignment="1" applyProtection="1">
      <alignment horizontal="center" vertical="center" wrapText="1"/>
    </xf>
    <xf numFmtId="49" fontId="0" fillId="3" borderId="49" xfId="10" applyNumberFormat="1" applyFont="1" applyFill="1" applyBorder="1" applyAlignment="1" applyProtection="1">
      <alignment horizontal="center" vertical="center" wrapText="1"/>
    </xf>
    <xf numFmtId="49" fontId="5" fillId="0" borderId="29" xfId="10" applyNumberFormat="1" applyFont="1" applyFill="1" applyBorder="1" applyAlignment="1" applyProtection="1">
      <alignment horizontal="center" vertical="center" wrapText="1"/>
    </xf>
    <xf numFmtId="0" fontId="8" fillId="3" borderId="17" xfId="10" applyFont="1" applyFill="1" applyBorder="1" applyAlignment="1" applyProtection="1">
      <alignment horizontal="left"/>
    </xf>
    <xf numFmtId="0" fontId="8" fillId="3" borderId="18" xfId="10" applyFont="1" applyFill="1" applyBorder="1" applyAlignment="1" applyProtection="1">
      <alignment horizontal="left"/>
    </xf>
    <xf numFmtId="4" fontId="8" fillId="3" borderId="17" xfId="10" applyNumberFormat="1" applyFont="1" applyFill="1" applyBorder="1" applyAlignment="1" applyProtection="1">
      <alignment horizontal="center"/>
    </xf>
    <xf numFmtId="4" fontId="8" fillId="3" borderId="18" xfId="10" applyNumberFormat="1" applyFont="1" applyFill="1" applyBorder="1" applyAlignment="1" applyProtection="1">
      <alignment horizontal="center"/>
    </xf>
    <xf numFmtId="49" fontId="5" fillId="3" borderId="17" xfId="10" applyNumberFormat="1" applyFont="1" applyFill="1" applyBorder="1" applyAlignment="1" applyProtection="1">
      <alignment horizontal="left"/>
    </xf>
    <xf numFmtId="49" fontId="5" fillId="3" borderId="18" xfId="10" applyNumberFormat="1" applyFont="1" applyFill="1" applyBorder="1" applyAlignment="1" applyProtection="1">
      <alignment horizontal="left"/>
    </xf>
    <xf numFmtId="17" fontId="5" fillId="3" borderId="17" xfId="10" applyNumberFormat="1" applyFont="1" applyFill="1" applyBorder="1" applyAlignment="1" applyProtection="1">
      <alignment horizontal="left"/>
    </xf>
    <xf numFmtId="17" fontId="5" fillId="3" borderId="19" xfId="10" applyNumberFormat="1" applyFont="1" applyFill="1" applyBorder="1" applyAlignment="1" applyProtection="1">
      <alignment horizontal="left"/>
    </xf>
    <xf numFmtId="167" fontId="0" fillId="2" borderId="17" xfId="0" applyNumberFormat="1" applyFill="1" applyBorder="1" applyAlignment="1" applyProtection="1">
      <alignment horizontal="center"/>
    </xf>
    <xf numFmtId="167" fontId="0" fillId="2" borderId="18" xfId="0" applyNumberFormat="1" applyFill="1" applyBorder="1" applyAlignment="1" applyProtection="1">
      <alignment horizontal="center"/>
    </xf>
    <xf numFmtId="4" fontId="5" fillId="3" borderId="17" xfId="10" applyNumberFormat="1" applyFont="1" applyFill="1" applyBorder="1" applyAlignment="1" applyProtection="1">
      <alignment horizontal="center"/>
    </xf>
    <xf numFmtId="4" fontId="5" fillId="3" borderId="18" xfId="10" applyNumberFormat="1" applyFont="1" applyFill="1" applyBorder="1" applyAlignment="1" applyProtection="1">
      <alignment horizontal="center"/>
    </xf>
    <xf numFmtId="0" fontId="8" fillId="3" borderId="17" xfId="10" applyFont="1" applyFill="1" applyBorder="1" applyAlignment="1" applyProtection="1">
      <alignment horizontal="left" vertical="center" wrapText="1"/>
    </xf>
    <xf numFmtId="0" fontId="8" fillId="3" borderId="18" xfId="10" applyFont="1" applyFill="1" applyBorder="1" applyAlignment="1" applyProtection="1">
      <alignment horizontal="left" vertical="center" wrapText="1"/>
    </xf>
    <xf numFmtId="0" fontId="8" fillId="3" borderId="22" xfId="10" applyFont="1" applyFill="1" applyBorder="1" applyAlignment="1" applyProtection="1">
      <alignment horizontal="center" vertical="center"/>
    </xf>
    <xf numFmtId="0" fontId="8" fillId="3" borderId="24" xfId="10" applyFont="1" applyFill="1" applyBorder="1" applyAlignment="1" applyProtection="1">
      <alignment horizontal="center" vertical="center"/>
    </xf>
    <xf numFmtId="0" fontId="8" fillId="3" borderId="17" xfId="10" applyFont="1" applyFill="1" applyBorder="1" applyAlignment="1" applyProtection="1">
      <alignment horizontal="center" vertical="center"/>
    </xf>
    <xf numFmtId="0" fontId="8" fillId="3" borderId="18" xfId="10" applyFont="1" applyFill="1" applyBorder="1" applyAlignment="1" applyProtection="1">
      <alignment horizontal="center" vertical="center"/>
    </xf>
    <xf numFmtId="17" fontId="5" fillId="3" borderId="18" xfId="10" applyNumberFormat="1" applyFont="1" applyFill="1" applyBorder="1" applyAlignment="1" applyProtection="1">
      <alignment horizontal="left"/>
    </xf>
    <xf numFmtId="4" fontId="0" fillId="2" borderId="17" xfId="0" applyNumberFormat="1" applyFill="1" applyBorder="1" applyAlignment="1" applyProtection="1">
      <alignment horizontal="center"/>
    </xf>
    <xf numFmtId="4" fontId="0" fillId="2" borderId="18" xfId="0" applyNumberFormat="1" applyFill="1" applyBorder="1" applyAlignment="1" applyProtection="1">
      <alignment horizontal="center"/>
    </xf>
    <xf numFmtId="0" fontId="0" fillId="3" borderId="17" xfId="10" applyFont="1" applyFill="1" applyBorder="1" applyAlignment="1" applyProtection="1">
      <alignment horizontal="left"/>
    </xf>
    <xf numFmtId="0" fontId="0" fillId="3" borderId="18" xfId="10" applyFont="1" applyFill="1" applyBorder="1" applyAlignment="1" applyProtection="1">
      <alignment horizontal="left"/>
    </xf>
    <xf numFmtId="2" fontId="8" fillId="0" borderId="5" xfId="10" applyNumberFormat="1" applyFont="1" applyFill="1" applyBorder="1" applyAlignment="1" applyProtection="1">
      <alignment horizontal="center" vertical="center"/>
    </xf>
    <xf numFmtId="0" fontId="8" fillId="3" borderId="17" xfId="10" applyFont="1" applyFill="1" applyBorder="1" applyAlignment="1" applyProtection="1">
      <alignment horizontal="left" wrapText="1"/>
    </xf>
    <xf numFmtId="0" fontId="8" fillId="3" borderId="18" xfId="10" applyFont="1" applyFill="1" applyBorder="1" applyAlignment="1" applyProtection="1">
      <alignment horizontal="left" wrapText="1"/>
    </xf>
    <xf numFmtId="17" fontId="0" fillId="3" borderId="5" xfId="10" applyNumberFormat="1" applyFont="1" applyFill="1" applyBorder="1" applyAlignment="1" applyProtection="1">
      <alignment horizontal="left"/>
    </xf>
    <xf numFmtId="49" fontId="13" fillId="6" borderId="25" xfId="10" applyNumberFormat="1" applyFont="1" applyFill="1" applyBorder="1" applyAlignment="1" applyProtection="1">
      <alignment horizontal="left" vertical="center"/>
    </xf>
    <xf numFmtId="49" fontId="13" fillId="6" borderId="26" xfId="10" applyNumberFormat="1" applyFont="1" applyFill="1" applyBorder="1" applyAlignment="1" applyProtection="1">
      <alignment horizontal="left" vertical="center"/>
    </xf>
    <xf numFmtId="49" fontId="13" fillId="6" borderId="27" xfId="10" applyNumberFormat="1" applyFont="1" applyFill="1" applyBorder="1" applyAlignment="1" applyProtection="1">
      <alignment horizontal="left" vertical="center"/>
    </xf>
    <xf numFmtId="49" fontId="14" fillId="6" borderId="17" xfId="10" applyNumberFormat="1" applyFont="1" applyFill="1" applyBorder="1" applyAlignment="1" applyProtection="1">
      <alignment horizontal="left" vertical="center"/>
    </xf>
    <xf numFmtId="49" fontId="14" fillId="6" borderId="19" xfId="10" applyNumberFormat="1" applyFont="1" applyFill="1" applyBorder="1" applyAlignment="1" applyProtection="1">
      <alignment horizontal="left" vertical="center"/>
    </xf>
    <xf numFmtId="49" fontId="14" fillId="6" borderId="18" xfId="10" applyNumberFormat="1" applyFont="1" applyFill="1" applyBorder="1" applyAlignment="1" applyProtection="1">
      <alignment horizontal="left" vertical="center"/>
    </xf>
    <xf numFmtId="49" fontId="5" fillId="3" borderId="17" xfId="10" applyNumberFormat="1" applyFont="1" applyFill="1" applyBorder="1" applyAlignment="1" applyProtection="1">
      <alignment horizontal="left" vertical="center" wrapText="1"/>
    </xf>
    <xf numFmtId="49" fontId="5" fillId="3" borderId="19" xfId="10" applyNumberFormat="1" applyFont="1" applyFill="1" applyBorder="1" applyAlignment="1" applyProtection="1">
      <alignment horizontal="left" vertical="center" wrapText="1"/>
    </xf>
    <xf numFmtId="49" fontId="5" fillId="3" borderId="18" xfId="10" applyNumberFormat="1" applyFont="1" applyFill="1" applyBorder="1" applyAlignment="1" applyProtection="1">
      <alignment horizontal="left" vertical="center" wrapText="1"/>
    </xf>
    <xf numFmtId="49" fontId="5" fillId="3" borderId="17" xfId="10" applyNumberFormat="1" applyFont="1" applyFill="1" applyBorder="1" applyAlignment="1" applyProtection="1">
      <alignment horizontal="left" vertical="center"/>
    </xf>
    <xf numFmtId="49" fontId="5" fillId="3" borderId="19" xfId="10" applyNumberFormat="1" applyFont="1" applyFill="1" applyBorder="1" applyAlignment="1" applyProtection="1">
      <alignment horizontal="left" vertical="center"/>
    </xf>
    <xf numFmtId="49" fontId="5" fillId="3" borderId="18" xfId="10" applyNumberFormat="1" applyFont="1" applyFill="1" applyBorder="1" applyAlignment="1" applyProtection="1">
      <alignment horizontal="left" vertical="center"/>
    </xf>
    <xf numFmtId="49" fontId="0" fillId="3" borderId="17" xfId="10" applyNumberFormat="1" applyFont="1" applyFill="1" applyBorder="1" applyAlignment="1" applyProtection="1">
      <alignment horizontal="left" vertical="center" wrapText="1"/>
    </xf>
    <xf numFmtId="49" fontId="13" fillId="6" borderId="17" xfId="10" applyNumberFormat="1" applyFont="1" applyFill="1" applyBorder="1" applyAlignment="1" applyProtection="1">
      <alignment horizontal="left" vertical="center"/>
    </xf>
    <xf numFmtId="49" fontId="13" fillId="6" borderId="19" xfId="10" applyNumberFormat="1" applyFont="1" applyFill="1" applyBorder="1" applyAlignment="1" applyProtection="1">
      <alignment horizontal="left" vertical="center"/>
    </xf>
    <xf numFmtId="49" fontId="13" fillId="6" borderId="18" xfId="10" applyNumberFormat="1" applyFont="1" applyFill="1" applyBorder="1" applyAlignment="1" applyProtection="1">
      <alignment horizontal="left" vertical="center"/>
    </xf>
    <xf numFmtId="49" fontId="0" fillId="3" borderId="17" xfId="10" applyNumberFormat="1" applyFont="1" applyFill="1" applyBorder="1" applyAlignment="1" applyProtection="1">
      <alignment horizontal="left" vertical="center"/>
    </xf>
    <xf numFmtId="49" fontId="5" fillId="0" borderId="25" xfId="10" applyNumberFormat="1" applyFont="1" applyFill="1" applyBorder="1" applyAlignment="1" applyProtection="1">
      <alignment horizontal="left" vertical="center" wrapText="1"/>
    </xf>
    <xf numFmtId="49" fontId="5" fillId="0" borderId="26" xfId="10" applyNumberFormat="1" applyFont="1" applyFill="1" applyBorder="1" applyAlignment="1" applyProtection="1">
      <alignment horizontal="left" vertical="center" wrapText="1"/>
    </xf>
    <xf numFmtId="49" fontId="5" fillId="0" borderId="27" xfId="10" applyNumberFormat="1" applyFont="1" applyFill="1" applyBorder="1" applyAlignment="1" applyProtection="1">
      <alignment horizontal="left" vertical="center" wrapText="1"/>
    </xf>
    <xf numFmtId="49" fontId="14" fillId="6" borderId="22" xfId="10" applyNumberFormat="1" applyFont="1" applyFill="1" applyBorder="1" applyAlignment="1" applyProtection="1">
      <alignment horizontal="left" vertical="center"/>
    </xf>
    <xf numFmtId="49" fontId="14" fillId="6" borderId="23" xfId="10" applyNumberFormat="1" applyFont="1" applyFill="1" applyBorder="1" applyAlignment="1" applyProtection="1">
      <alignment horizontal="left" vertical="center"/>
    </xf>
    <xf numFmtId="49" fontId="14" fillId="6" borderId="24" xfId="10" applyNumberFormat="1" applyFont="1" applyFill="1" applyBorder="1" applyAlignment="1" applyProtection="1">
      <alignment horizontal="left" vertical="center"/>
    </xf>
    <xf numFmtId="49" fontId="14" fillId="6" borderId="22" xfId="10" applyNumberFormat="1" applyFont="1" applyFill="1" applyBorder="1" applyAlignment="1" applyProtection="1">
      <alignment horizontal="left" vertical="center" wrapText="1"/>
    </xf>
    <xf numFmtId="49" fontId="14" fillId="6" borderId="23" xfId="10" applyNumberFormat="1" applyFont="1" applyFill="1" applyBorder="1" applyAlignment="1" applyProtection="1">
      <alignment horizontal="left" vertical="center" wrapText="1"/>
    </xf>
    <xf numFmtId="49" fontId="14" fillId="6" borderId="24" xfId="10" applyNumberFormat="1" applyFont="1" applyFill="1" applyBorder="1" applyAlignment="1" applyProtection="1">
      <alignment horizontal="left" vertical="center" wrapText="1"/>
    </xf>
    <xf numFmtId="49" fontId="5" fillId="0" borderId="17" xfId="10" applyNumberFormat="1" applyFont="1" applyFill="1" applyBorder="1" applyAlignment="1" applyProtection="1">
      <alignment horizontal="left"/>
    </xf>
    <xf numFmtId="49" fontId="5" fillId="0" borderId="19" xfId="10" applyNumberFormat="1" applyFont="1" applyFill="1" applyBorder="1" applyAlignment="1" applyProtection="1">
      <alignment horizontal="left"/>
    </xf>
    <xf numFmtId="49" fontId="5" fillId="0" borderId="18" xfId="10" applyNumberFormat="1" applyFont="1" applyFill="1" applyBorder="1" applyAlignment="1" applyProtection="1">
      <alignment horizontal="left"/>
    </xf>
    <xf numFmtId="49" fontId="14" fillId="6" borderId="17" xfId="10" applyNumberFormat="1" applyFont="1" applyFill="1" applyBorder="1" applyAlignment="1" applyProtection="1">
      <alignment horizontal="left"/>
    </xf>
    <xf numFmtId="49" fontId="14" fillId="6" borderId="19" xfId="10" applyNumberFormat="1" applyFont="1" applyFill="1" applyBorder="1" applyAlignment="1" applyProtection="1">
      <alignment horizontal="left"/>
    </xf>
    <xf numFmtId="49" fontId="14" fillId="6" borderId="18" xfId="10" applyNumberFormat="1" applyFont="1" applyFill="1" applyBorder="1" applyAlignment="1" applyProtection="1">
      <alignment horizontal="left"/>
    </xf>
    <xf numFmtId="49" fontId="5" fillId="0" borderId="28" xfId="10" applyNumberFormat="1" applyFont="1" applyFill="1" applyBorder="1" applyAlignment="1" applyProtection="1">
      <alignment horizontal="left"/>
    </xf>
    <xf numFmtId="49" fontId="14" fillId="6" borderId="28" xfId="10" applyNumberFormat="1" applyFont="1" applyFill="1" applyBorder="1" applyAlignment="1" applyProtection="1">
      <alignment horizontal="left"/>
    </xf>
    <xf numFmtId="49" fontId="0" fillId="0" borderId="17" xfId="10" applyNumberFormat="1" applyFont="1" applyFill="1" applyBorder="1" applyAlignment="1" applyProtection="1">
      <alignment horizontal="left"/>
    </xf>
    <xf numFmtId="2" fontId="0" fillId="0" borderId="89" xfId="98" applyNumberFormat="1" applyFont="1" applyFill="1" applyBorder="1" applyAlignment="1" applyProtection="1">
      <alignment horizontal="left" vertical="center" wrapText="1"/>
    </xf>
    <xf numFmtId="2" fontId="5" fillId="0" borderId="90" xfId="98" applyNumberFormat="1" applyFont="1" applyFill="1" applyBorder="1" applyAlignment="1" applyProtection="1">
      <alignment horizontal="left" vertical="center" wrapText="1"/>
    </xf>
    <xf numFmtId="2" fontId="5" fillId="0" borderId="91" xfId="98" applyNumberFormat="1" applyFont="1" applyFill="1" applyBorder="1" applyAlignment="1" applyProtection="1">
      <alignment horizontal="left" vertical="center" wrapText="1"/>
    </xf>
    <xf numFmtId="2" fontId="0" fillId="0" borderId="17" xfId="98" applyNumberFormat="1" applyFont="1" applyFill="1" applyBorder="1" applyAlignment="1" applyProtection="1">
      <alignment horizontal="left" vertical="center" wrapText="1"/>
    </xf>
    <xf numFmtId="2" fontId="5" fillId="0" borderId="19" xfId="98" applyNumberFormat="1" applyFont="1" applyFill="1" applyBorder="1" applyAlignment="1" applyProtection="1">
      <alignment horizontal="left" vertical="center" wrapText="1"/>
    </xf>
    <xf numFmtId="2" fontId="5" fillId="0" borderId="18" xfId="98" applyNumberFormat="1" applyFont="1" applyFill="1" applyBorder="1" applyAlignment="1" applyProtection="1">
      <alignment horizontal="left" vertical="center" wrapText="1"/>
    </xf>
    <xf numFmtId="0" fontId="13" fillId="6" borderId="17" xfId="98" applyFont="1" applyFill="1" applyBorder="1" applyAlignment="1" applyProtection="1">
      <alignment horizontal="left" vertical="center" wrapText="1"/>
    </xf>
    <xf numFmtId="0" fontId="13" fillId="6" borderId="19" xfId="98" applyFont="1" applyFill="1" applyBorder="1" applyAlignment="1" applyProtection="1">
      <alignment horizontal="left" vertical="center" wrapText="1"/>
    </xf>
    <xf numFmtId="0" fontId="13" fillId="6" borderId="18" xfId="98" applyFont="1" applyFill="1" applyBorder="1" applyAlignment="1" applyProtection="1">
      <alignment horizontal="left" vertical="center" wrapText="1"/>
    </xf>
    <xf numFmtId="0" fontId="5" fillId="0" borderId="5" xfId="98" applyFont="1" applyFill="1" applyBorder="1" applyAlignment="1" applyProtection="1">
      <alignment horizontal="left" vertical="center"/>
    </xf>
    <xf numFmtId="0" fontId="5" fillId="0" borderId="17" xfId="98" applyFont="1" applyFill="1" applyBorder="1" applyAlignment="1" applyProtection="1">
      <alignment horizontal="left" vertical="center"/>
    </xf>
    <xf numFmtId="0" fontId="5" fillId="0" borderId="19" xfId="98" applyFont="1" applyFill="1" applyBorder="1" applyAlignment="1" applyProtection="1">
      <alignment horizontal="left" vertical="center"/>
    </xf>
    <xf numFmtId="0" fontId="5" fillId="0" borderId="18" xfId="98" applyFont="1" applyFill="1" applyBorder="1" applyAlignment="1" applyProtection="1">
      <alignment horizontal="left" vertical="center"/>
    </xf>
    <xf numFmtId="0" fontId="13" fillId="6" borderId="25" xfId="98" applyFont="1" applyFill="1" applyBorder="1" applyAlignment="1" applyProtection="1">
      <alignment horizontal="left" vertical="center" wrapText="1"/>
    </xf>
    <xf numFmtId="0" fontId="13" fillId="6" borderId="26" xfId="98" applyFont="1" applyFill="1" applyBorder="1" applyAlignment="1" applyProtection="1">
      <alignment horizontal="left" vertical="center" wrapText="1"/>
    </xf>
    <xf numFmtId="0" fontId="13" fillId="6" borderId="27" xfId="98" applyFont="1" applyFill="1" applyBorder="1" applyAlignment="1" applyProtection="1">
      <alignment horizontal="left" vertical="center" wrapText="1"/>
    </xf>
    <xf numFmtId="0" fontId="13" fillId="6" borderId="26" xfId="98" applyFont="1" applyFill="1" applyBorder="1" applyAlignment="1" applyProtection="1">
      <alignment horizontal="left" vertical="center"/>
    </xf>
    <xf numFmtId="0" fontId="13" fillId="6" borderId="27" xfId="98" applyFont="1" applyFill="1" applyBorder="1" applyAlignment="1" applyProtection="1">
      <alignment horizontal="left" vertical="center"/>
    </xf>
    <xf numFmtId="0" fontId="13" fillId="6" borderId="5" xfId="4" applyFont="1" applyFill="1" applyBorder="1" applyAlignment="1" applyProtection="1">
      <alignment horizontal="left" vertical="center"/>
    </xf>
    <xf numFmtId="0" fontId="0" fillId="0" borderId="5" xfId="98" applyFont="1" applyFill="1" applyBorder="1" applyAlignment="1" applyProtection="1">
      <alignment horizontal="left" vertical="center"/>
    </xf>
    <xf numFmtId="0" fontId="8" fillId="0" borderId="0" xfId="0" applyFont="1" applyAlignment="1">
      <alignment horizontal="left"/>
    </xf>
    <xf numFmtId="0" fontId="8" fillId="0" borderId="0" xfId="0" applyFont="1" applyAlignment="1" applyProtection="1">
      <alignment horizontal="left" vertical="center" wrapText="1"/>
    </xf>
    <xf numFmtId="0" fontId="8" fillId="0" borderId="29" xfId="0" applyFont="1" applyFill="1" applyBorder="1" applyAlignment="1" applyProtection="1">
      <alignment horizontal="center"/>
    </xf>
    <xf numFmtId="0" fontId="8" fillId="0" borderId="48" xfId="0" applyFont="1" applyFill="1" applyBorder="1" applyAlignment="1" applyProtection="1">
      <alignment horizontal="center" vertical="center"/>
    </xf>
    <xf numFmtId="0" fontId="8" fillId="0" borderId="88" xfId="0" applyFont="1" applyFill="1" applyBorder="1" applyAlignment="1" applyProtection="1">
      <alignment horizontal="center" vertical="center"/>
    </xf>
    <xf numFmtId="0" fontId="8" fillId="0" borderId="33" xfId="0" applyFont="1" applyBorder="1" applyAlignment="1" applyProtection="1">
      <alignment horizontal="left"/>
    </xf>
    <xf numFmtId="0" fontId="8" fillId="0" borderId="30" xfId="0" applyFont="1" applyBorder="1" applyAlignment="1" applyProtection="1">
      <alignment horizontal="left"/>
    </xf>
    <xf numFmtId="0" fontId="8" fillId="0" borderId="29" xfId="0" applyFont="1" applyBorder="1" applyAlignment="1" applyProtection="1">
      <alignment horizontal="center"/>
    </xf>
    <xf numFmtId="0" fontId="8" fillId="33" borderId="74" xfId="0" applyFont="1" applyFill="1" applyBorder="1" applyAlignment="1" applyProtection="1">
      <alignment horizontal="left" vertical="center"/>
    </xf>
    <xf numFmtId="0" fontId="8" fillId="33" borderId="76" xfId="0" applyFont="1" applyFill="1" applyBorder="1" applyAlignment="1" applyProtection="1">
      <alignment horizontal="left" vertical="center"/>
    </xf>
    <xf numFmtId="0" fontId="8" fillId="33" borderId="79" xfId="0" applyFont="1" applyFill="1" applyBorder="1" applyAlignment="1" applyProtection="1">
      <alignment horizontal="left" vertical="center"/>
    </xf>
    <xf numFmtId="0" fontId="5" fillId="33" borderId="69" xfId="0" applyFont="1" applyFill="1" applyBorder="1" applyAlignment="1" applyProtection="1">
      <alignment horizontal="left" vertical="center"/>
    </xf>
    <xf numFmtId="0" fontId="5" fillId="33" borderId="61" xfId="0" applyFont="1" applyFill="1" applyBorder="1" applyAlignment="1" applyProtection="1">
      <alignment horizontal="left" vertical="center"/>
    </xf>
    <xf numFmtId="0" fontId="5" fillId="33" borderId="66" xfId="0" applyFont="1" applyFill="1" applyBorder="1" applyAlignment="1" applyProtection="1">
      <alignment horizontal="left" vertical="center"/>
    </xf>
    <xf numFmtId="0" fontId="5" fillId="33" borderId="57" xfId="0" applyFont="1" applyFill="1" applyBorder="1" applyAlignment="1" applyProtection="1">
      <alignment horizontal="left" vertical="center"/>
    </xf>
    <xf numFmtId="0" fontId="8" fillId="31" borderId="57" xfId="0" applyFont="1" applyFill="1" applyBorder="1" applyAlignment="1" applyProtection="1">
      <alignment horizontal="left" vertical="center"/>
    </xf>
    <xf numFmtId="0" fontId="8" fillId="31" borderId="61" xfId="0" applyFont="1" applyFill="1" applyBorder="1" applyAlignment="1" applyProtection="1">
      <alignment horizontal="left" vertical="center"/>
    </xf>
    <xf numFmtId="0" fontId="8" fillId="31" borderId="66" xfId="0" applyFont="1" applyFill="1" applyBorder="1" applyAlignment="1" applyProtection="1">
      <alignment horizontal="left" vertical="center"/>
    </xf>
    <xf numFmtId="0" fontId="5" fillId="31" borderId="57" xfId="0" applyFont="1" applyFill="1" applyBorder="1" applyAlignment="1" applyProtection="1">
      <alignment horizontal="left" vertical="center"/>
    </xf>
    <xf numFmtId="0" fontId="5" fillId="31" borderId="61" xfId="0" applyFont="1" applyFill="1" applyBorder="1" applyAlignment="1" applyProtection="1">
      <alignment horizontal="left" vertical="center"/>
    </xf>
    <xf numFmtId="0" fontId="5" fillId="31" borderId="66" xfId="0" applyFont="1" applyFill="1" applyBorder="1" applyAlignment="1" applyProtection="1">
      <alignment horizontal="left" vertical="center"/>
    </xf>
    <xf numFmtId="0" fontId="8" fillId="32" borderId="74" xfId="0" applyFont="1" applyFill="1" applyBorder="1" applyAlignment="1" applyProtection="1">
      <alignment horizontal="left" vertical="center"/>
    </xf>
    <xf numFmtId="0" fontId="8" fillId="32" borderId="76" xfId="0" applyFont="1" applyFill="1" applyBorder="1" applyAlignment="1" applyProtection="1">
      <alignment horizontal="left" vertical="center"/>
    </xf>
    <xf numFmtId="0" fontId="8" fillId="32" borderId="79" xfId="0" applyFont="1" applyFill="1" applyBorder="1" applyAlignment="1" applyProtection="1">
      <alignment horizontal="left" vertical="center"/>
    </xf>
    <xf numFmtId="0" fontId="5" fillId="32" borderId="69" xfId="0" applyFont="1" applyFill="1" applyBorder="1" applyAlignment="1" applyProtection="1">
      <alignment horizontal="left" vertical="center"/>
    </xf>
    <xf numFmtId="0" fontId="5" fillId="32" borderId="61" xfId="0" applyFont="1" applyFill="1" applyBorder="1" applyAlignment="1" applyProtection="1">
      <alignment horizontal="left" vertical="center"/>
    </xf>
    <xf numFmtId="0" fontId="5" fillId="32" borderId="66" xfId="0" applyFont="1" applyFill="1" applyBorder="1" applyAlignment="1" applyProtection="1">
      <alignment horizontal="left" vertical="center"/>
    </xf>
    <xf numFmtId="0" fontId="5" fillId="32" borderId="57" xfId="0" applyFont="1" applyFill="1" applyBorder="1" applyAlignment="1" applyProtection="1">
      <alignment horizontal="left" vertical="center"/>
    </xf>
    <xf numFmtId="0" fontId="8" fillId="29" borderId="69" xfId="0" applyFont="1" applyFill="1" applyBorder="1" applyAlignment="1" applyProtection="1">
      <alignment horizontal="left" vertical="center"/>
    </xf>
    <xf numFmtId="0" fontId="8" fillId="29" borderId="61" xfId="0" applyFont="1" applyFill="1" applyBorder="1" applyAlignment="1" applyProtection="1">
      <alignment horizontal="left" vertical="center"/>
    </xf>
    <xf numFmtId="0" fontId="8" fillId="29" borderId="66" xfId="0" applyFont="1" applyFill="1" applyBorder="1" applyAlignment="1" applyProtection="1">
      <alignment horizontal="left" vertical="center"/>
    </xf>
    <xf numFmtId="0" fontId="5" fillId="29" borderId="69" xfId="0" applyFont="1" applyFill="1" applyBorder="1" applyAlignment="1" applyProtection="1">
      <alignment horizontal="left" vertical="center"/>
    </xf>
    <xf numFmtId="0" fontId="5" fillId="29" borderId="61" xfId="0" applyFont="1" applyFill="1" applyBorder="1" applyAlignment="1" applyProtection="1">
      <alignment horizontal="left" vertical="center"/>
    </xf>
    <xf numFmtId="0" fontId="5" fillId="29" borderId="66" xfId="0" applyFont="1" applyFill="1" applyBorder="1" applyAlignment="1" applyProtection="1">
      <alignment horizontal="left" vertical="center"/>
    </xf>
    <xf numFmtId="0" fontId="5" fillId="29" borderId="57" xfId="0" applyFont="1" applyFill="1" applyBorder="1" applyAlignment="1" applyProtection="1">
      <alignment horizontal="left" vertical="center"/>
    </xf>
    <xf numFmtId="0" fontId="8" fillId="30" borderId="57" xfId="0" applyFont="1" applyFill="1" applyBorder="1" applyAlignment="1" applyProtection="1">
      <alignment horizontal="left" vertical="center"/>
    </xf>
    <xf numFmtId="0" fontId="8" fillId="30" borderId="61" xfId="0" applyFont="1" applyFill="1" applyBorder="1" applyAlignment="1" applyProtection="1">
      <alignment horizontal="left" vertical="center"/>
    </xf>
    <xf numFmtId="0" fontId="8" fillId="30" borderId="66" xfId="0" applyFont="1" applyFill="1" applyBorder="1" applyAlignment="1" applyProtection="1">
      <alignment horizontal="left" vertical="center"/>
    </xf>
    <xf numFmtId="0" fontId="5" fillId="30" borderId="57" xfId="0" applyFont="1" applyFill="1" applyBorder="1" applyAlignment="1" applyProtection="1">
      <alignment horizontal="left" vertical="center"/>
    </xf>
    <xf numFmtId="0" fontId="5" fillId="30" borderId="61" xfId="0" applyFont="1" applyFill="1" applyBorder="1" applyAlignment="1" applyProtection="1">
      <alignment horizontal="left" vertical="center"/>
    </xf>
    <xf numFmtId="0" fontId="5" fillId="30" borderId="66" xfId="0" applyFont="1" applyFill="1" applyBorder="1" applyAlignment="1" applyProtection="1">
      <alignment horizontal="left" vertical="center"/>
    </xf>
    <xf numFmtId="0" fontId="8" fillId="27" borderId="57" xfId="0" applyFont="1" applyFill="1" applyBorder="1" applyAlignment="1" applyProtection="1">
      <alignment horizontal="left" vertical="center"/>
    </xf>
    <xf numFmtId="0" fontId="8" fillId="27" borderId="61" xfId="0" applyFont="1" applyFill="1" applyBorder="1" applyAlignment="1" applyProtection="1">
      <alignment horizontal="left" vertical="center"/>
    </xf>
    <xf numFmtId="0" fontId="8" fillId="27" borderId="66" xfId="0" applyFont="1" applyFill="1" applyBorder="1" applyAlignment="1" applyProtection="1">
      <alignment horizontal="left" vertical="center"/>
    </xf>
    <xf numFmtId="0" fontId="5" fillId="27" borderId="57" xfId="0" applyFont="1" applyFill="1" applyBorder="1" applyAlignment="1" applyProtection="1">
      <alignment horizontal="left" vertical="center"/>
    </xf>
    <xf numFmtId="0" fontId="5" fillId="27" borderId="61" xfId="0" applyFont="1" applyFill="1" applyBorder="1" applyAlignment="1" applyProtection="1">
      <alignment horizontal="left" vertical="center"/>
    </xf>
    <xf numFmtId="0" fontId="5" fillId="27" borderId="66" xfId="0" applyFont="1" applyFill="1" applyBorder="1" applyAlignment="1" applyProtection="1">
      <alignment horizontal="left" vertical="center"/>
    </xf>
    <xf numFmtId="0" fontId="8" fillId="28" borderId="69" xfId="0" applyFont="1" applyFill="1" applyBorder="1" applyAlignment="1" applyProtection="1">
      <alignment horizontal="left" vertical="center"/>
    </xf>
    <xf numFmtId="0" fontId="8" fillId="28" borderId="61" xfId="0" applyFont="1" applyFill="1" applyBorder="1" applyAlignment="1" applyProtection="1">
      <alignment horizontal="left" vertical="center"/>
    </xf>
    <xf numFmtId="0" fontId="8" fillId="28" borderId="66" xfId="0" applyFont="1" applyFill="1" applyBorder="1" applyAlignment="1" applyProtection="1">
      <alignment horizontal="left" vertical="center"/>
    </xf>
    <xf numFmtId="0" fontId="5" fillId="28" borderId="69" xfId="0" applyFont="1" applyFill="1" applyBorder="1" applyAlignment="1" applyProtection="1">
      <alignment horizontal="left" vertical="center"/>
    </xf>
    <xf numFmtId="0" fontId="5" fillId="28" borderId="61" xfId="0" applyFont="1" applyFill="1" applyBorder="1" applyAlignment="1" applyProtection="1">
      <alignment horizontal="left" vertical="center"/>
    </xf>
    <xf numFmtId="0" fontId="5" fillId="28" borderId="66" xfId="0" applyFont="1" applyFill="1" applyBorder="1" applyAlignment="1" applyProtection="1">
      <alignment horizontal="left" vertical="center"/>
    </xf>
    <xf numFmtId="0" fontId="5" fillId="28" borderId="57" xfId="0" applyFont="1" applyFill="1" applyBorder="1" applyAlignment="1" applyProtection="1">
      <alignment horizontal="left" vertical="center"/>
    </xf>
  </cellXfs>
  <cellStyles count="216">
    <cellStyle name="20% - Ênfase1 2" xfId="13"/>
    <cellStyle name="20% - Ênfase2 2" xfId="14"/>
    <cellStyle name="20% - Ênfase3 2" xfId="15"/>
    <cellStyle name="20% - Ênfase4 2" xfId="16"/>
    <cellStyle name="20% - Ênfase5 2" xfId="17"/>
    <cellStyle name="20% - Ênfase6 2" xfId="18"/>
    <cellStyle name="40% - Ênfase1 2" xfId="19"/>
    <cellStyle name="40% - Ênfase2 2" xfId="20"/>
    <cellStyle name="40% - Ênfase3 2" xfId="21"/>
    <cellStyle name="40% - Ênfase4 2" xfId="22"/>
    <cellStyle name="40% - Ênfase5 2" xfId="23"/>
    <cellStyle name="40% - Ênfase6 2" xfId="24"/>
    <cellStyle name="60% - Ênfase1 2" xfId="25"/>
    <cellStyle name="60% - Ênfase2 2" xfId="26"/>
    <cellStyle name="60% - Ênfase3 2" xfId="27"/>
    <cellStyle name="60% - Ênfase4 2" xfId="28"/>
    <cellStyle name="60% - Ênfase5 2" xfId="29"/>
    <cellStyle name="60% - Ênfase6 2" xfId="30"/>
    <cellStyle name="A3 297 x 420 mm" xfId="31"/>
    <cellStyle name="Bom 2" xfId="32"/>
    <cellStyle name="Bom 3" xfId="33"/>
    <cellStyle name="Bom 4" xfId="34"/>
    <cellStyle name="Cálculo 2" xfId="35"/>
    <cellStyle name="Célula de Verificação 2" xfId="36"/>
    <cellStyle name="Célula Vinculada 2" xfId="37"/>
    <cellStyle name="Comma [0]" xfId="38"/>
    <cellStyle name="Currency [0]" xfId="39"/>
    <cellStyle name="Ênfase1 2" xfId="40"/>
    <cellStyle name="Ênfase2 2" xfId="41"/>
    <cellStyle name="Ênfase3 2" xfId="42"/>
    <cellStyle name="Ênfase4 2" xfId="43"/>
    <cellStyle name="Ênfase5 2" xfId="44"/>
    <cellStyle name="Ênfase6 2" xfId="45"/>
    <cellStyle name="Entrada 2" xfId="46"/>
    <cellStyle name="Euro" xfId="47"/>
    <cellStyle name="Hyperlink 2 2" xfId="48"/>
    <cellStyle name="Hyperlink 2 3" xfId="49"/>
    <cellStyle name="Incorreto 2" xfId="50"/>
    <cellStyle name="Moeda 10" xfId="51"/>
    <cellStyle name="Moeda 14" xfId="52"/>
    <cellStyle name="Moeda 2" xfId="3"/>
    <cellStyle name="Moeda 2 10" xfId="53"/>
    <cellStyle name="Moeda 2 2" xfId="54"/>
    <cellStyle name="Moeda 2 3" xfId="55"/>
    <cellStyle name="Moeda 2 4" xfId="56"/>
    <cellStyle name="Moeda 2 5" xfId="57"/>
    <cellStyle name="Moeda 2 6" xfId="58"/>
    <cellStyle name="Moeda 2 6 2" xfId="59"/>
    <cellStyle name="Moeda 2 6 2 2" xfId="60"/>
    <cellStyle name="Moeda 2 6 3" xfId="61"/>
    <cellStyle name="Moeda 2 7" xfId="62"/>
    <cellStyle name="Moeda 2 8" xfId="63"/>
    <cellStyle name="Moeda 2 9" xfId="64"/>
    <cellStyle name="Moeda 3" xfId="65"/>
    <cellStyle name="Moeda 3 2" xfId="66"/>
    <cellStyle name="Moeda 3 4" xfId="67"/>
    <cellStyle name="Moeda 3 4 2" xfId="68"/>
    <cellStyle name="Moeda 4" xfId="69"/>
    <cellStyle name="Moeda 5" xfId="70"/>
    <cellStyle name="Moeda 6" xfId="71"/>
    <cellStyle name="Moeda 7" xfId="72"/>
    <cellStyle name="Moeda 8" xfId="73"/>
    <cellStyle name="Moeda 8 10" xfId="74"/>
    <cellStyle name="Moeda 8 11" xfId="75"/>
    <cellStyle name="Moeda 8 12" xfId="76"/>
    <cellStyle name="Moeda 8 13" xfId="77"/>
    <cellStyle name="Moeda 8 14" xfId="78"/>
    <cellStyle name="Moeda 8 15" xfId="79"/>
    <cellStyle name="Moeda 8 16" xfId="80"/>
    <cellStyle name="Moeda 8 17" xfId="81"/>
    <cellStyle name="Moeda 8 18" xfId="82"/>
    <cellStyle name="Moeda 8 19" xfId="83"/>
    <cellStyle name="Moeda 8 2" xfId="84"/>
    <cellStyle name="Moeda 8 20" xfId="85"/>
    <cellStyle name="Moeda 8 21" xfId="86"/>
    <cellStyle name="Moeda 8 22" xfId="87"/>
    <cellStyle name="Moeda 8 23" xfId="88"/>
    <cellStyle name="Moeda 8 3" xfId="89"/>
    <cellStyle name="Moeda 8 4" xfId="90"/>
    <cellStyle name="Moeda 8 5" xfId="91"/>
    <cellStyle name="Moeda 8 6" xfId="92"/>
    <cellStyle name="Moeda 8 7" xfId="93"/>
    <cellStyle name="Moeda 8 8" xfId="94"/>
    <cellStyle name="Moeda 8 9" xfId="95"/>
    <cellStyle name="Moeda 9" xfId="96"/>
    <cellStyle name="Moeda_TRF SISTEMA FEV05" xfId="9"/>
    <cellStyle name="Neutra 2" xfId="97"/>
    <cellStyle name="Normal" xfId="0" builtinId="0"/>
    <cellStyle name="Normal 10" xfId="98"/>
    <cellStyle name="Normal 11" xfId="99"/>
    <cellStyle name="Normal 12" xfId="100"/>
    <cellStyle name="Normal 2" xfId="4"/>
    <cellStyle name="Normal 2 2" xfId="101"/>
    <cellStyle name="Normal 2 3" xfId="102"/>
    <cellStyle name="Normal 2 4" xfId="103"/>
    <cellStyle name="Normal 2 5" xfId="104"/>
    <cellStyle name="Normal 2 6" xfId="105"/>
    <cellStyle name="Normal 2 7" xfId="106"/>
    <cellStyle name="Normal 3" xfId="8"/>
    <cellStyle name="Normal 3 2" xfId="107"/>
    <cellStyle name="Normal 3 2 2" xfId="108"/>
    <cellStyle name="Normal 3 3" xfId="109"/>
    <cellStyle name="Normal 3 4" xfId="110"/>
    <cellStyle name="Normal 3 5" xfId="111"/>
    <cellStyle name="Normal 3 6" xfId="112"/>
    <cellStyle name="Normal 3 7" xfId="113"/>
    <cellStyle name="Normal 4" xfId="10"/>
    <cellStyle name="Normal 4 2" xfId="114"/>
    <cellStyle name="Normal 4 3" xfId="115"/>
    <cellStyle name="Normal 5" xfId="116"/>
    <cellStyle name="Normal 5 2" xfId="117"/>
    <cellStyle name="Normal 6" xfId="118"/>
    <cellStyle name="Normal 6 2" xfId="119"/>
    <cellStyle name="Normal 7" xfId="120"/>
    <cellStyle name="Normal 8" xfId="121"/>
    <cellStyle name="Normal 9" xfId="122"/>
    <cellStyle name="Normal_TRF SISTEMA FEV05" xfId="2"/>
    <cellStyle name="Nota 2" xfId="123"/>
    <cellStyle name="Porcentagem" xfId="1" builtinId="5"/>
    <cellStyle name="Porcentagem 10" xfId="124"/>
    <cellStyle name="Porcentagem 2" xfId="5"/>
    <cellStyle name="Porcentagem 2 10" xfId="125"/>
    <cellStyle name="Porcentagem 2 2" xfId="126"/>
    <cellStyle name="Porcentagem 2 3" xfId="127"/>
    <cellStyle name="Porcentagem 2 4" xfId="128"/>
    <cellStyle name="Porcentagem 2 4 2" xfId="129"/>
    <cellStyle name="Porcentagem 2 5" xfId="130"/>
    <cellStyle name="Porcentagem 2 6" xfId="131"/>
    <cellStyle name="Porcentagem 2 7" xfId="132"/>
    <cellStyle name="Porcentagem 2 8" xfId="133"/>
    <cellStyle name="Porcentagem 2 9" xfId="134"/>
    <cellStyle name="Porcentagem 3" xfId="6"/>
    <cellStyle name="Porcentagem 3 2" xfId="135"/>
    <cellStyle name="Porcentagem 4" xfId="11"/>
    <cellStyle name="Porcentagem 4 2" xfId="136"/>
    <cellStyle name="Porcentagem 4 3" xfId="137"/>
    <cellStyle name="Porcentagem 4 4" xfId="138"/>
    <cellStyle name="Porcentagem 4 5" xfId="139"/>
    <cellStyle name="Porcentagem 5" xfId="140"/>
    <cellStyle name="Porcentagem 5 2" xfId="141"/>
    <cellStyle name="Porcentagem 6" xfId="142"/>
    <cellStyle name="Porcentagem 6 2" xfId="143"/>
    <cellStyle name="Porcentagem 6 2 2" xfId="144"/>
    <cellStyle name="Porcentagem 6 2 2 2" xfId="145"/>
    <cellStyle name="Porcentagem 6 3" xfId="146"/>
    <cellStyle name="Porcentagem 6 4" xfId="147"/>
    <cellStyle name="Porcentagem 7" xfId="148"/>
    <cellStyle name="Porcentagem 8" xfId="149"/>
    <cellStyle name="Porcentagem 8 2" xfId="150"/>
    <cellStyle name="Porcentagem 9" xfId="151"/>
    <cellStyle name="Saída 2" xfId="152"/>
    <cellStyle name="Separador de milhares 2" xfId="153"/>
    <cellStyle name="Separador de milhares 2 2" xfId="154"/>
    <cellStyle name="Separador de milhares 2 3" xfId="155"/>
    <cellStyle name="Separador de milhares 2 4" xfId="156"/>
    <cellStyle name="Separador de milhares 2 5" xfId="157"/>
    <cellStyle name="Separador de milhares 2 5 2" xfId="158"/>
    <cellStyle name="Separador de milhares 2 6" xfId="159"/>
    <cellStyle name="Separador de milhares 2 7" xfId="160"/>
    <cellStyle name="Separador de milhares 2 8" xfId="161"/>
    <cellStyle name="Separador de milhares 2 9" xfId="162"/>
    <cellStyle name="Separador de milhares 3" xfId="163"/>
    <cellStyle name="Separador de milhares 3 2" xfId="164"/>
    <cellStyle name="Separador de milhares 3 2 2" xfId="165"/>
    <cellStyle name="Separador de milhares 3 2 2 2" xfId="166"/>
    <cellStyle name="Separador de milhares 4" xfId="167"/>
    <cellStyle name="Separador de milhares 4 2" xfId="168"/>
    <cellStyle name="Separador de milhares 4 3" xfId="169"/>
    <cellStyle name="Separador de milhares 5" xfId="170"/>
    <cellStyle name="Separador de milhares 5 2" xfId="171"/>
    <cellStyle name="Separador de milhares 6" xfId="172"/>
    <cellStyle name="Separador de milhares 6 2" xfId="173"/>
    <cellStyle name="Separador de milhares 7" xfId="174"/>
    <cellStyle name="Separador de milhares 8" xfId="175"/>
    <cellStyle name="Separador de milhares 8 10" xfId="176"/>
    <cellStyle name="Separador de milhares 8 11" xfId="177"/>
    <cellStyle name="Separador de milhares 8 12" xfId="178"/>
    <cellStyle name="Separador de milhares 8 13" xfId="179"/>
    <cellStyle name="Separador de milhares 8 14" xfId="180"/>
    <cellStyle name="Separador de milhares 8 15" xfId="181"/>
    <cellStyle name="Separador de milhares 8 16" xfId="182"/>
    <cellStyle name="Separador de milhares 8 17" xfId="183"/>
    <cellStyle name="Separador de milhares 8 18" xfId="184"/>
    <cellStyle name="Separador de milhares 8 19" xfId="185"/>
    <cellStyle name="Separador de milhares 8 2" xfId="186"/>
    <cellStyle name="Separador de milhares 8 20" xfId="187"/>
    <cellStyle name="Separador de milhares 8 21" xfId="188"/>
    <cellStyle name="Separador de milhares 8 22" xfId="189"/>
    <cellStyle name="Separador de milhares 8 23" xfId="190"/>
    <cellStyle name="Separador de milhares 8 3" xfId="191"/>
    <cellStyle name="Separador de milhares 8 4" xfId="192"/>
    <cellStyle name="Separador de milhares 8 5" xfId="193"/>
    <cellStyle name="Separador de milhares 8 6" xfId="194"/>
    <cellStyle name="Separador de milhares 8 7" xfId="195"/>
    <cellStyle name="Separador de milhares 8 8" xfId="196"/>
    <cellStyle name="Separador de milhares 8 9" xfId="197"/>
    <cellStyle name="Texto de Aviso 2" xfId="198"/>
    <cellStyle name="Texto Explicativo 2" xfId="199"/>
    <cellStyle name="Texto Explicativo 3" xfId="200"/>
    <cellStyle name="Título 1 1" xfId="201"/>
    <cellStyle name="Título 1 1 1" xfId="202"/>
    <cellStyle name="Título 1 1 1 1" xfId="203"/>
    <cellStyle name="Título 1 1 1 1 1" xfId="204"/>
    <cellStyle name="Título 1 2" xfId="205"/>
    <cellStyle name="Título 2 2" xfId="206"/>
    <cellStyle name="Título 3 2" xfId="207"/>
    <cellStyle name="Título 4 2" xfId="208"/>
    <cellStyle name="Título 5" xfId="209"/>
    <cellStyle name="Total 2" xfId="210"/>
    <cellStyle name="Vírgula" xfId="215" builtinId="3"/>
    <cellStyle name="Vírgula 2" xfId="7"/>
    <cellStyle name="Vírgula 2 2" xfId="211"/>
    <cellStyle name="Vírgula 3" xfId="12"/>
    <cellStyle name="Vírgula 4" xfId="212"/>
    <cellStyle name="Vírgula 5" xfId="213"/>
    <cellStyle name="Vírgula 6" xfId="214"/>
  </cellStyles>
  <dxfs count="16">
    <dxf>
      <protection locked="1"/>
    </dxf>
    <dxf>
      <alignment horizontal="right" readingOrder="0"/>
    </dxf>
    <dxf>
      <alignment horizontal="right" readingOrder="0"/>
    </dxf>
    <dxf>
      <alignment wrapText="1" readingOrder="0"/>
    </dxf>
    <dxf>
      <numFmt numFmtId="4" formatCode="#,##0.00"/>
    </dxf>
    <dxf>
      <alignment horizontal="right" readingOrder="0"/>
    </dxf>
    <dxf>
      <protection locked="1"/>
    </dxf>
    <dxf>
      <alignment horizontal="right" readingOrder="0"/>
    </dxf>
    <dxf>
      <alignment wrapText="1" readingOrder="0"/>
    </dxf>
    <dxf>
      <alignment horizontal="right" readingOrder="0"/>
    </dxf>
    <dxf>
      <alignment wrapText="1" readingOrder="0"/>
    </dxf>
    <dxf>
      <numFmt numFmtId="4" formatCode="#,##0.00"/>
    </dxf>
    <dxf>
      <alignment horizontal="right" readingOrder="0"/>
    </dxf>
    <dxf>
      <alignment horizontal="right" readingOrder="0"/>
    </dxf>
    <dxf>
      <alignment horizontal="right" readingOrder="0"/>
    </dxf>
    <dxf>
      <alignment wrapText="1" readingOrder="0"/>
    </dxf>
  </dxfs>
  <tableStyles count="0" defaultTableStyle="TableStyleMedium2" defaultPivotStyle="PivotStyleLight16"/>
  <colors>
    <mruColors>
      <color rgb="FFFFFF99"/>
      <color rgb="FFCC00FF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66675</xdr:colOff>
          <xdr:row>7</xdr:row>
          <xdr:rowOff>85725</xdr:rowOff>
        </xdr:from>
        <xdr:to>
          <xdr:col>1</xdr:col>
          <xdr:colOff>457200</xdr:colOff>
          <xdr:row>7</xdr:row>
          <xdr:rowOff>85725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66675</xdr:colOff>
          <xdr:row>7</xdr:row>
          <xdr:rowOff>85725</xdr:rowOff>
        </xdr:from>
        <xdr:to>
          <xdr:col>1</xdr:col>
          <xdr:colOff>457200</xdr:colOff>
          <xdr:row>7</xdr:row>
          <xdr:rowOff>85725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66675</xdr:colOff>
          <xdr:row>7</xdr:row>
          <xdr:rowOff>85725</xdr:rowOff>
        </xdr:from>
        <xdr:to>
          <xdr:col>1</xdr:col>
          <xdr:colOff>457200</xdr:colOff>
          <xdr:row>7</xdr:row>
          <xdr:rowOff>85725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66675</xdr:colOff>
          <xdr:row>7</xdr:row>
          <xdr:rowOff>85725</xdr:rowOff>
        </xdr:from>
        <xdr:to>
          <xdr:col>1</xdr:col>
          <xdr:colOff>457200</xdr:colOff>
          <xdr:row>7</xdr:row>
          <xdr:rowOff>85725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66675</xdr:colOff>
          <xdr:row>7</xdr:row>
          <xdr:rowOff>85725</xdr:rowOff>
        </xdr:from>
        <xdr:to>
          <xdr:col>1</xdr:col>
          <xdr:colOff>457200</xdr:colOff>
          <xdr:row>7</xdr:row>
          <xdr:rowOff>85725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66675</xdr:colOff>
          <xdr:row>7</xdr:row>
          <xdr:rowOff>85725</xdr:rowOff>
        </xdr:from>
        <xdr:to>
          <xdr:col>1</xdr:col>
          <xdr:colOff>457200</xdr:colOff>
          <xdr:row>7</xdr:row>
          <xdr:rowOff>85725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&#199;&#213;ES/&#212;nibus/Edital%20Porto%20Alegre-RS/EDITAL%203/ARQUIVOS%20AUXILIARES/DETERMINA&#199;&#195;O%20DO%20PRE&#199;O%20DA%20FROT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lanilha%20BASE%20EDITAL%20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M&#225;rcio\&#212;NIBUS\Revis&#227;o%20Planilha%20Tarif&#225;ria\BASE%20REVIS&#195;O%202013\Itens%20revisados\&#205;tens%20Revisados%20-%20M&#233;dia%203%20anos\Pe&#231;as%20e%20Acess&#243;rios%20-%202011-2012-2013%20-%20Estudo%20Licita&#231;&#227;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&#199;&#213;ES/&#212;nibus/Edital%20Porto%20Alegre-RS/EDITAL%203/DETERMINA&#199;&#195;O%20DA%20TARIFA%20TETO/M&#233;todo%20planilha/Planilha%20BASE%20EDITAL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ÇO NF FINAL"/>
      <sheetName val="VAR.IGPM"/>
      <sheetName val="BASE"/>
      <sheetName val="Data N"/>
    </sheetNames>
    <sheetDataSet>
      <sheetData sheetId="0">
        <row r="4">
          <cell r="A4" t="str">
            <v>LO 915</v>
          </cell>
        </row>
        <row r="30">
          <cell r="C30">
            <v>42709.700000000004</v>
          </cell>
        </row>
        <row r="31">
          <cell r="C31">
            <v>80210.900000000009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"/>
      <sheetName val="01 Preços"/>
      <sheetName val="02 Coeficientes"/>
      <sheetName val="Aux.2.1 Coef."/>
      <sheetName val="03 Dados_Oper"/>
      <sheetName val="04 Frota"/>
      <sheetName val="Aux.4.1 Frota-Chassi"/>
      <sheetName val="Aux.4.2 Frota atual"/>
      <sheetName val="Aux.4.21 Frota atual rev"/>
      <sheetName val="Aux.4.3 Frota ano 00"/>
      <sheetName val="05 Deprec."/>
      <sheetName val="Aux.5.1 Coef_Depr"/>
      <sheetName val="06 Remun."/>
      <sheetName val="Aux.61 Coef_Remun"/>
      <sheetName val="Aux.62 Ativo Imobilizado"/>
      <sheetName val="Aux.63 Terrenos"/>
      <sheetName val="Aux.64 Almoxarifado"/>
      <sheetName val="07 CustVar"/>
      <sheetName val="Aux.71 Diesel"/>
      <sheetName val="08 CustPeças&amp;Aces"/>
      <sheetName val="09 CustosPessoal"/>
      <sheetName val="10 CustosAdmin"/>
    </sheetNames>
    <sheetDataSet>
      <sheetData sheetId="0"/>
      <sheetData sheetId="1"/>
      <sheetData sheetId="2">
        <row r="58">
          <cell r="B58">
            <v>6.23</v>
          </cell>
          <cell r="F58" t="str">
            <v>INPC</v>
          </cell>
        </row>
      </sheetData>
      <sheetData sheetId="3"/>
      <sheetData sheetId="4">
        <row r="13">
          <cell r="B13">
            <v>1709</v>
          </cell>
        </row>
      </sheetData>
      <sheetData sheetId="5">
        <row r="39">
          <cell r="D39">
            <v>406465.34834094916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ef. Peças Acessórios"/>
      <sheetName val="Análise Coef. PÇ"/>
      <sheetName val="Gasto PÇ"/>
      <sheetName val="Carris"/>
      <sheetName val="Navegantes"/>
      <sheetName val="Nortran"/>
      <sheetName val="Sopal"/>
      <sheetName val="B Novo"/>
      <sheetName val="Restinga"/>
      <sheetName val="Trevo"/>
      <sheetName val="Vtc"/>
      <sheetName val="Estoril"/>
      <sheetName val="Gazômetro"/>
      <sheetName val="Pres Vargas"/>
      <sheetName val="Sudeste"/>
      <sheetName val="Vap"/>
    </sheetNames>
    <sheetDataSet>
      <sheetData sheetId="0"/>
      <sheetData sheetId="1"/>
      <sheetData sheetId="2"/>
      <sheetData sheetId="3">
        <row r="650">
          <cell r="P650">
            <v>655226.65</v>
          </cell>
        </row>
        <row r="676">
          <cell r="P676">
            <v>442713.06</v>
          </cell>
        </row>
        <row r="704">
          <cell r="P704">
            <v>550792.03</v>
          </cell>
        </row>
        <row r="732">
          <cell r="P732">
            <v>731473.59</v>
          </cell>
        </row>
        <row r="760">
          <cell r="P760">
            <v>646022.68999999994</v>
          </cell>
        </row>
        <row r="788">
          <cell r="P788">
            <v>612741.03999999992</v>
          </cell>
        </row>
        <row r="816">
          <cell r="P816">
            <v>647399.64999999991</v>
          </cell>
        </row>
        <row r="844">
          <cell r="P844">
            <v>1083348.53</v>
          </cell>
        </row>
        <row r="872">
          <cell r="P872">
            <v>797442.37</v>
          </cell>
        </row>
        <row r="900">
          <cell r="P900">
            <v>878088.66</v>
          </cell>
        </row>
        <row r="928">
          <cell r="P928">
            <v>645395.77</v>
          </cell>
        </row>
        <row r="956">
          <cell r="P956">
            <v>1220946.6800000002</v>
          </cell>
        </row>
      </sheetData>
      <sheetData sheetId="4">
        <row r="322">
          <cell r="P322">
            <v>109444.63</v>
          </cell>
        </row>
        <row r="336">
          <cell r="P336">
            <v>82632.41</v>
          </cell>
        </row>
        <row r="349">
          <cell r="P349">
            <v>137665.59</v>
          </cell>
        </row>
        <row r="365">
          <cell r="P365">
            <v>107896.85</v>
          </cell>
        </row>
        <row r="381">
          <cell r="P381">
            <v>97728.43</v>
          </cell>
        </row>
        <row r="394">
          <cell r="P394">
            <v>108450.88999999998</v>
          </cell>
        </row>
        <row r="407">
          <cell r="P407">
            <v>129681.4</v>
          </cell>
        </row>
        <row r="422">
          <cell r="P422">
            <v>512.19000000000005</v>
          </cell>
        </row>
        <row r="439">
          <cell r="P439">
            <v>109840.06</v>
          </cell>
        </row>
        <row r="455">
          <cell r="P455">
            <v>145145.39000000001</v>
          </cell>
        </row>
        <row r="472">
          <cell r="P472">
            <v>135387.59999999998</v>
          </cell>
        </row>
        <row r="484">
          <cell r="P484">
            <v>125300.96999999999</v>
          </cell>
        </row>
      </sheetData>
      <sheetData sheetId="5">
        <row r="708">
          <cell r="P708">
            <v>273189.74</v>
          </cell>
        </row>
        <row r="736">
          <cell r="P736">
            <v>274849.75</v>
          </cell>
        </row>
        <row r="760">
          <cell r="P760">
            <v>268311.14</v>
          </cell>
        </row>
        <row r="788">
          <cell r="P788">
            <v>212406.97999999998</v>
          </cell>
        </row>
        <row r="816">
          <cell r="P816">
            <v>218860.62</v>
          </cell>
        </row>
        <row r="844">
          <cell r="P844">
            <v>213204.66</v>
          </cell>
        </row>
        <row r="872">
          <cell r="P872">
            <v>439100.69</v>
          </cell>
        </row>
        <row r="900">
          <cell r="P900">
            <v>266899.32</v>
          </cell>
        </row>
        <row r="928">
          <cell r="P928">
            <v>270267.08</v>
          </cell>
        </row>
        <row r="956">
          <cell r="P956">
            <v>229423.8</v>
          </cell>
        </row>
        <row r="984">
          <cell r="P984">
            <v>-234043.45</v>
          </cell>
        </row>
        <row r="1012">
          <cell r="P1012">
            <v>318312.63999999996</v>
          </cell>
        </row>
      </sheetData>
      <sheetData sheetId="6">
        <row r="570">
          <cell r="P570">
            <v>166980.58999999997</v>
          </cell>
        </row>
        <row r="591">
          <cell r="P591">
            <v>225598.02</v>
          </cell>
        </row>
        <row r="614">
          <cell r="P614">
            <v>260581.56</v>
          </cell>
        </row>
        <row r="637">
          <cell r="P637">
            <v>216115.01</v>
          </cell>
        </row>
        <row r="660">
          <cell r="P660">
            <v>223152.16</v>
          </cell>
        </row>
        <row r="683">
          <cell r="P683">
            <v>192440.63</v>
          </cell>
        </row>
        <row r="706">
          <cell r="P706">
            <v>334652.74999999994</v>
          </cell>
        </row>
        <row r="729">
          <cell r="P729">
            <v>278736.39999999997</v>
          </cell>
        </row>
        <row r="752">
          <cell r="P752">
            <v>221411.1</v>
          </cell>
        </row>
        <row r="775">
          <cell r="P775">
            <v>244631.09</v>
          </cell>
        </row>
        <row r="798">
          <cell r="P798">
            <v>216494.50999999998</v>
          </cell>
        </row>
        <row r="821">
          <cell r="P821">
            <v>206776.38</v>
          </cell>
        </row>
      </sheetData>
      <sheetData sheetId="7">
        <row r="546">
          <cell r="P546">
            <v>119584.09000000001</v>
          </cell>
        </row>
        <row r="568">
          <cell r="P568">
            <v>107454.732</v>
          </cell>
        </row>
        <row r="590">
          <cell r="P590">
            <v>51509.54</v>
          </cell>
        </row>
        <row r="612">
          <cell r="P612">
            <v>53989.04</v>
          </cell>
        </row>
        <row r="634">
          <cell r="P634">
            <v>109048.44</v>
          </cell>
        </row>
        <row r="656">
          <cell r="P656">
            <v>60462.559999999998</v>
          </cell>
        </row>
        <row r="678">
          <cell r="P678">
            <v>63941.56</v>
          </cell>
        </row>
        <row r="700">
          <cell r="P700">
            <v>60798.33</v>
          </cell>
        </row>
        <row r="722">
          <cell r="P722">
            <v>65874.819999999992</v>
          </cell>
        </row>
        <row r="744">
          <cell r="P744">
            <v>59175.82</v>
          </cell>
        </row>
        <row r="766">
          <cell r="P766">
            <v>48954.82</v>
          </cell>
        </row>
        <row r="788">
          <cell r="P788">
            <v>42506.310000000005</v>
          </cell>
        </row>
      </sheetData>
      <sheetData sheetId="8">
        <row r="816">
          <cell r="P816">
            <v>207662.52</v>
          </cell>
        </row>
        <row r="852">
          <cell r="P852">
            <v>155642.65</v>
          </cell>
        </row>
        <row r="884">
          <cell r="P884">
            <v>204348.24</v>
          </cell>
        </row>
        <row r="920">
          <cell r="P920">
            <v>176289.89</v>
          </cell>
        </row>
        <row r="956">
          <cell r="P956">
            <v>155021.53</v>
          </cell>
        </row>
        <row r="988">
          <cell r="P988">
            <v>142251.54</v>
          </cell>
        </row>
        <row r="1020">
          <cell r="P1020">
            <v>223779.02000000002</v>
          </cell>
        </row>
        <row r="1052">
          <cell r="P1052">
            <v>212128.58</v>
          </cell>
        </row>
        <row r="1086">
          <cell r="P1086">
            <v>164611.19</v>
          </cell>
        </row>
        <row r="1120">
          <cell r="P1120">
            <v>186970.67</v>
          </cell>
        </row>
        <row r="1154">
          <cell r="P1154">
            <v>169063.76</v>
          </cell>
        </row>
        <row r="1188">
          <cell r="P1188">
            <v>156595.56</v>
          </cell>
        </row>
      </sheetData>
      <sheetData sheetId="9">
        <row r="442">
          <cell r="P442">
            <v>428012.93</v>
          </cell>
        </row>
        <row r="458">
          <cell r="P458">
            <v>432750.71</v>
          </cell>
        </row>
        <row r="474">
          <cell r="P474">
            <v>492425.50999999995</v>
          </cell>
        </row>
        <row r="490">
          <cell r="P490">
            <v>454418.68</v>
          </cell>
        </row>
        <row r="506">
          <cell r="P506">
            <v>356349.14999999997</v>
          </cell>
        </row>
        <row r="522">
          <cell r="P522">
            <v>314666.19999999995</v>
          </cell>
        </row>
        <row r="538">
          <cell r="P538">
            <v>390666.57</v>
          </cell>
        </row>
        <row r="554">
          <cell r="P554">
            <v>397171.93</v>
          </cell>
        </row>
        <row r="570">
          <cell r="P570">
            <v>367154.12999999995</v>
          </cell>
        </row>
        <row r="586">
          <cell r="P586">
            <v>390837.14</v>
          </cell>
        </row>
        <row r="604">
          <cell r="P604">
            <v>518499.47</v>
          </cell>
        </row>
        <row r="622">
          <cell r="P622">
            <v>436328.51</v>
          </cell>
        </row>
      </sheetData>
      <sheetData sheetId="10">
        <row r="606">
          <cell r="P606">
            <v>189787.28000000003</v>
          </cell>
        </row>
        <row r="631">
          <cell r="P631">
            <v>174463.74000000002</v>
          </cell>
        </row>
        <row r="654">
          <cell r="P654">
            <v>199564.83000000002</v>
          </cell>
        </row>
        <row r="679">
          <cell r="P679">
            <v>169457.22</v>
          </cell>
        </row>
        <row r="704">
          <cell r="P704">
            <v>139302.59</v>
          </cell>
        </row>
        <row r="727">
          <cell r="P727">
            <v>182574.54</v>
          </cell>
        </row>
        <row r="750">
          <cell r="P750">
            <v>177626.68000000002</v>
          </cell>
        </row>
        <row r="773">
          <cell r="P773">
            <v>146785.85999999999</v>
          </cell>
        </row>
        <row r="796">
          <cell r="P796">
            <v>163577.1</v>
          </cell>
        </row>
        <row r="819">
          <cell r="P819">
            <v>163577.1</v>
          </cell>
        </row>
        <row r="842">
          <cell r="P842">
            <v>146953.04999999999</v>
          </cell>
        </row>
        <row r="867">
          <cell r="P867">
            <v>183140.51</v>
          </cell>
        </row>
      </sheetData>
      <sheetData sheetId="11">
        <row r="474">
          <cell r="P474">
            <v>28619.329999999998</v>
          </cell>
        </row>
        <row r="492">
          <cell r="P492">
            <v>44178.450000000004</v>
          </cell>
        </row>
        <row r="510">
          <cell r="P510">
            <v>43395.130000000005</v>
          </cell>
        </row>
        <row r="526">
          <cell r="P526">
            <v>23910.26</v>
          </cell>
        </row>
        <row r="544">
          <cell r="P544">
            <v>42082.85</v>
          </cell>
        </row>
        <row r="562">
          <cell r="P562">
            <v>58910.080000000002</v>
          </cell>
        </row>
        <row r="580">
          <cell r="P580">
            <v>54197.11</v>
          </cell>
        </row>
        <row r="598">
          <cell r="P598">
            <v>58099.159999999996</v>
          </cell>
        </row>
        <row r="614">
          <cell r="P614">
            <v>39512.050000000003</v>
          </cell>
        </row>
        <row r="630">
          <cell r="P630">
            <v>91351.24000000002</v>
          </cell>
        </row>
        <row r="646">
          <cell r="P646">
            <v>57391.08</v>
          </cell>
        </row>
        <row r="662">
          <cell r="P662">
            <v>41661.519999999997</v>
          </cell>
        </row>
      </sheetData>
      <sheetData sheetId="12">
        <row r="502">
          <cell r="P502">
            <v>2751.58</v>
          </cell>
        </row>
        <row r="516">
          <cell r="P516">
            <v>34264.090000000004</v>
          </cell>
        </row>
        <row r="531">
          <cell r="P531">
            <v>73881.62999999999</v>
          </cell>
        </row>
        <row r="547">
          <cell r="P547">
            <v>48559.130000000005</v>
          </cell>
        </row>
        <row r="563">
          <cell r="P563">
            <v>38537.69</v>
          </cell>
        </row>
        <row r="579">
          <cell r="P579">
            <v>38839.86</v>
          </cell>
        </row>
        <row r="595">
          <cell r="P595">
            <v>41793.79</v>
          </cell>
        </row>
        <row r="611">
          <cell r="P611">
            <v>19132.32</v>
          </cell>
        </row>
        <row r="627">
          <cell r="P627">
            <v>23396.52</v>
          </cell>
        </row>
        <row r="643">
          <cell r="P643">
            <v>18444.63</v>
          </cell>
        </row>
        <row r="661">
          <cell r="P661">
            <v>39670.939999999995</v>
          </cell>
        </row>
        <row r="679">
          <cell r="P679">
            <v>25385.64</v>
          </cell>
        </row>
      </sheetData>
      <sheetData sheetId="13">
        <row r="476">
          <cell r="P476">
            <v>90832.159999999989</v>
          </cell>
        </row>
        <row r="492">
          <cell r="P492">
            <v>422829.73000000004</v>
          </cell>
        </row>
        <row r="512">
          <cell r="P512">
            <v>99677.16</v>
          </cell>
        </row>
        <row r="528">
          <cell r="P528">
            <v>103785.28</v>
          </cell>
        </row>
        <row r="544">
          <cell r="P544">
            <v>-222765.99999999997</v>
          </cell>
        </row>
        <row r="564">
          <cell r="P564">
            <v>138832.95999999999</v>
          </cell>
        </row>
        <row r="584">
          <cell r="P584">
            <v>108581</v>
          </cell>
        </row>
        <row r="604">
          <cell r="P604">
            <v>117796.83</v>
          </cell>
        </row>
        <row r="622">
          <cell r="P622">
            <v>90101.440000000002</v>
          </cell>
        </row>
        <row r="642">
          <cell r="P642">
            <v>90715</v>
          </cell>
        </row>
        <row r="662">
          <cell r="P662">
            <v>99418.4</v>
          </cell>
        </row>
        <row r="682">
          <cell r="P682">
            <v>84963.55</v>
          </cell>
        </row>
      </sheetData>
      <sheetData sheetId="14">
        <row r="654">
          <cell r="P654">
            <v>282890.43000000005</v>
          </cell>
        </row>
        <row r="677">
          <cell r="P677">
            <v>271420.81999999995</v>
          </cell>
        </row>
        <row r="699">
          <cell r="P699">
            <v>362079.91000000003</v>
          </cell>
        </row>
        <row r="720">
          <cell r="P720">
            <v>306128.14</v>
          </cell>
        </row>
        <row r="741">
          <cell r="P741">
            <v>262321.83999999997</v>
          </cell>
        </row>
        <row r="763">
          <cell r="P763">
            <v>268418.55000000005</v>
          </cell>
        </row>
        <row r="786">
          <cell r="P786">
            <v>297333.40999999997</v>
          </cell>
        </row>
        <row r="808">
          <cell r="P808">
            <v>268520.95999999996</v>
          </cell>
        </row>
        <row r="828">
          <cell r="P828">
            <v>242780.13999999998</v>
          </cell>
        </row>
        <row r="850">
          <cell r="P850">
            <v>300022.86</v>
          </cell>
        </row>
        <row r="875">
          <cell r="P875">
            <v>326275.90000000002</v>
          </cell>
        </row>
        <row r="900">
          <cell r="P900">
            <v>263154.09999999998</v>
          </cell>
        </row>
      </sheetData>
      <sheetData sheetId="15">
        <row r="552">
          <cell r="P552">
            <v>260587.46</v>
          </cell>
        </row>
        <row r="570">
          <cell r="P570">
            <v>197058.55000000002</v>
          </cell>
        </row>
        <row r="590">
          <cell r="P590">
            <v>227369.52</v>
          </cell>
        </row>
        <row r="610">
          <cell r="P610">
            <v>185314.81999999998</v>
          </cell>
        </row>
        <row r="630">
          <cell r="P630">
            <v>177159.16</v>
          </cell>
        </row>
        <row r="650">
          <cell r="P650">
            <v>189296.56</v>
          </cell>
        </row>
        <row r="670">
          <cell r="P670">
            <v>216969.75</v>
          </cell>
        </row>
        <row r="690">
          <cell r="P690">
            <v>225338.71</v>
          </cell>
        </row>
        <row r="710">
          <cell r="P710">
            <v>171590.11000000002</v>
          </cell>
        </row>
        <row r="730">
          <cell r="P730">
            <v>232147.42</v>
          </cell>
        </row>
        <row r="750">
          <cell r="P750">
            <v>251925.63</v>
          </cell>
        </row>
        <row r="770">
          <cell r="P770">
            <v>191156.68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"/>
      <sheetName val="01 Preços"/>
      <sheetName val="02 Coeficientes"/>
      <sheetName val="Aux.2.1 Coef."/>
      <sheetName val="03 Dados_Oper"/>
      <sheetName val="04 Frota"/>
      <sheetName val="Aux.4.1 Frota-Chassi"/>
      <sheetName val="Aux.4.2 Frota atual"/>
      <sheetName val="Aux.4.21 Frota atual rev"/>
      <sheetName val="Aux.4.3 Frota ano 00"/>
      <sheetName val="05 Deprec."/>
      <sheetName val="Aux.5.1 Coef_Depr"/>
      <sheetName val="06 Remun."/>
      <sheetName val="Aux.61 Coef_Remun"/>
      <sheetName val="Aux.62 Ativo Imobilizado"/>
      <sheetName val="Aux.63 Terrenos"/>
      <sheetName val="Aux.64 Almoxarifado"/>
      <sheetName val="07 CustVar"/>
      <sheetName val="Aux.71 Diesel"/>
      <sheetName val="08 CustPeças&amp;Aces"/>
      <sheetName val="09 CustosPessoal"/>
      <sheetName val="10 CustosAdmin"/>
    </sheetNames>
    <sheetDataSet>
      <sheetData sheetId="0"/>
      <sheetData sheetId="1"/>
      <sheetData sheetId="2">
        <row r="79">
          <cell r="B79" t="str">
            <v>NÃO</v>
          </cell>
        </row>
      </sheetData>
      <sheetData sheetId="3"/>
      <sheetData sheetId="4"/>
      <sheetData sheetId="5"/>
      <sheetData sheetId="6"/>
      <sheetData sheetId="7"/>
      <sheetData sheetId="8">
        <row r="4">
          <cell r="W4">
            <v>0</v>
          </cell>
        </row>
        <row r="5">
          <cell r="U5"/>
          <cell r="W5">
            <v>0</v>
          </cell>
        </row>
        <row r="6">
          <cell r="W6">
            <v>4</v>
          </cell>
        </row>
        <row r="7">
          <cell r="U7"/>
          <cell r="W7">
            <v>0</v>
          </cell>
        </row>
        <row r="8">
          <cell r="U8"/>
          <cell r="W8">
            <v>0</v>
          </cell>
        </row>
        <row r="9">
          <cell r="U9"/>
          <cell r="W9">
            <v>0</v>
          </cell>
        </row>
        <row r="11">
          <cell r="U11">
            <v>32</v>
          </cell>
          <cell r="W11">
            <v>39</v>
          </cell>
        </row>
        <row r="12">
          <cell r="W12">
            <v>0</v>
          </cell>
        </row>
        <row r="13">
          <cell r="W13">
            <v>0</v>
          </cell>
        </row>
        <row r="14">
          <cell r="W14">
            <v>0</v>
          </cell>
        </row>
        <row r="15">
          <cell r="W15">
            <v>0</v>
          </cell>
        </row>
        <row r="16">
          <cell r="W16">
            <v>0</v>
          </cell>
        </row>
        <row r="17">
          <cell r="W17">
            <v>0</v>
          </cell>
        </row>
        <row r="18">
          <cell r="W18">
            <v>0</v>
          </cell>
        </row>
        <row r="19">
          <cell r="U19">
            <v>35</v>
          </cell>
          <cell r="W19">
            <v>35</v>
          </cell>
        </row>
        <row r="22">
          <cell r="W22">
            <v>0</v>
          </cell>
        </row>
        <row r="23">
          <cell r="W23">
            <v>1</v>
          </cell>
        </row>
        <row r="24">
          <cell r="W24">
            <v>1</v>
          </cell>
        </row>
        <row r="25">
          <cell r="W25">
            <v>0</v>
          </cell>
        </row>
        <row r="26">
          <cell r="W26">
            <v>0</v>
          </cell>
        </row>
        <row r="28">
          <cell r="U28">
            <v>7</v>
          </cell>
          <cell r="W28">
            <v>17</v>
          </cell>
        </row>
        <row r="29">
          <cell r="U29">
            <v>12</v>
          </cell>
          <cell r="W29">
            <v>12</v>
          </cell>
        </row>
        <row r="30">
          <cell r="U30">
            <v>13</v>
          </cell>
          <cell r="W30">
            <v>13</v>
          </cell>
        </row>
        <row r="33">
          <cell r="W33">
            <v>0</v>
          </cell>
        </row>
        <row r="34">
          <cell r="W34">
            <v>0</v>
          </cell>
        </row>
        <row r="35">
          <cell r="W35">
            <v>3</v>
          </cell>
        </row>
        <row r="36">
          <cell r="W36">
            <v>0</v>
          </cell>
        </row>
        <row r="37">
          <cell r="W37">
            <v>0</v>
          </cell>
        </row>
        <row r="39">
          <cell r="U39">
            <v>1</v>
          </cell>
          <cell r="W39">
            <v>1</v>
          </cell>
        </row>
        <row r="40">
          <cell r="U40">
            <v>28</v>
          </cell>
          <cell r="W40">
            <v>28</v>
          </cell>
        </row>
        <row r="41">
          <cell r="U41">
            <v>13</v>
          </cell>
          <cell r="W41">
            <v>18</v>
          </cell>
        </row>
        <row r="44">
          <cell r="W44">
            <v>0</v>
          </cell>
        </row>
        <row r="45">
          <cell r="W45">
            <v>0</v>
          </cell>
        </row>
        <row r="46">
          <cell r="U46">
            <v>18</v>
          </cell>
          <cell r="W46">
            <v>18</v>
          </cell>
        </row>
        <row r="47">
          <cell r="W47">
            <v>0</v>
          </cell>
        </row>
        <row r="48">
          <cell r="W48">
            <v>0</v>
          </cell>
        </row>
        <row r="49">
          <cell r="W49">
            <v>0</v>
          </cell>
        </row>
        <row r="50">
          <cell r="W50">
            <v>0</v>
          </cell>
        </row>
        <row r="51">
          <cell r="W51">
            <v>0</v>
          </cell>
        </row>
        <row r="52">
          <cell r="W52">
            <v>0</v>
          </cell>
        </row>
        <row r="53">
          <cell r="W53">
            <v>0</v>
          </cell>
        </row>
        <row r="55">
          <cell r="U55">
            <v>3</v>
          </cell>
          <cell r="W55">
            <v>9</v>
          </cell>
        </row>
        <row r="56">
          <cell r="W56">
            <v>0</v>
          </cell>
        </row>
        <row r="57">
          <cell r="U57">
            <v>6</v>
          </cell>
          <cell r="W57">
            <v>6</v>
          </cell>
        </row>
        <row r="58">
          <cell r="U58">
            <v>23</v>
          </cell>
          <cell r="W58">
            <v>23</v>
          </cell>
        </row>
        <row r="61">
          <cell r="W61">
            <v>0</v>
          </cell>
        </row>
        <row r="62">
          <cell r="W62">
            <v>0</v>
          </cell>
        </row>
        <row r="63">
          <cell r="U63">
            <v>9</v>
          </cell>
          <cell r="W63">
            <v>9</v>
          </cell>
        </row>
        <row r="64">
          <cell r="W64">
            <v>0</v>
          </cell>
        </row>
        <row r="65">
          <cell r="U65">
            <v>3</v>
          </cell>
          <cell r="W65">
            <v>3</v>
          </cell>
        </row>
        <row r="66">
          <cell r="W66">
            <v>0</v>
          </cell>
        </row>
        <row r="67">
          <cell r="W67">
            <v>0</v>
          </cell>
        </row>
        <row r="68">
          <cell r="W68">
            <v>0</v>
          </cell>
        </row>
        <row r="69">
          <cell r="W69">
            <v>0</v>
          </cell>
        </row>
        <row r="70">
          <cell r="W70">
            <v>0</v>
          </cell>
        </row>
        <row r="72">
          <cell r="U72">
            <v>18</v>
          </cell>
          <cell r="W72">
            <v>32</v>
          </cell>
        </row>
        <row r="73">
          <cell r="W73">
            <v>0</v>
          </cell>
        </row>
        <row r="74">
          <cell r="U74">
            <v>11</v>
          </cell>
          <cell r="W74">
            <v>11</v>
          </cell>
        </row>
        <row r="75">
          <cell r="W75">
            <v>0</v>
          </cell>
        </row>
        <row r="78">
          <cell r="W78">
            <v>0</v>
          </cell>
        </row>
        <row r="79">
          <cell r="W79">
            <v>0</v>
          </cell>
        </row>
        <row r="80">
          <cell r="U80">
            <v>11</v>
          </cell>
          <cell r="W80">
            <v>14</v>
          </cell>
        </row>
        <row r="81">
          <cell r="W81">
            <v>0</v>
          </cell>
        </row>
        <row r="82">
          <cell r="W82">
            <v>0</v>
          </cell>
        </row>
        <row r="83">
          <cell r="U83">
            <v>7</v>
          </cell>
          <cell r="W83">
            <v>9</v>
          </cell>
        </row>
        <row r="84">
          <cell r="W84">
            <v>0</v>
          </cell>
        </row>
        <row r="85">
          <cell r="U85">
            <v>4</v>
          </cell>
          <cell r="W85">
            <v>4</v>
          </cell>
        </row>
        <row r="86">
          <cell r="W86">
            <v>0</v>
          </cell>
        </row>
        <row r="87">
          <cell r="W87">
            <v>0</v>
          </cell>
        </row>
        <row r="89">
          <cell r="U89">
            <v>22</v>
          </cell>
          <cell r="W89">
            <v>22</v>
          </cell>
        </row>
        <row r="90">
          <cell r="W90">
            <v>0</v>
          </cell>
        </row>
        <row r="91">
          <cell r="W91">
            <v>0</v>
          </cell>
        </row>
        <row r="92">
          <cell r="W92">
            <v>0</v>
          </cell>
        </row>
        <row r="93">
          <cell r="W93">
            <v>0</v>
          </cell>
        </row>
        <row r="96">
          <cell r="W96">
            <v>0</v>
          </cell>
        </row>
        <row r="97">
          <cell r="W97">
            <v>0</v>
          </cell>
        </row>
        <row r="98">
          <cell r="W98">
            <v>0</v>
          </cell>
        </row>
        <row r="99">
          <cell r="W99">
            <v>0</v>
          </cell>
        </row>
        <row r="100">
          <cell r="W100">
            <v>0</v>
          </cell>
        </row>
        <row r="101">
          <cell r="W101">
            <v>7</v>
          </cell>
        </row>
        <row r="102">
          <cell r="W102">
            <v>0</v>
          </cell>
        </row>
        <row r="103">
          <cell r="W103">
            <v>0</v>
          </cell>
        </row>
        <row r="104">
          <cell r="W104">
            <v>0</v>
          </cell>
        </row>
        <row r="105">
          <cell r="W105">
            <v>0</v>
          </cell>
        </row>
        <row r="107">
          <cell r="U107">
            <v>26</v>
          </cell>
          <cell r="W107">
            <v>26</v>
          </cell>
        </row>
        <row r="108">
          <cell r="W108">
            <v>0</v>
          </cell>
        </row>
        <row r="109">
          <cell r="W109">
            <v>0</v>
          </cell>
        </row>
        <row r="110">
          <cell r="U110">
            <v>1</v>
          </cell>
          <cell r="W110">
            <v>1</v>
          </cell>
        </row>
        <row r="111">
          <cell r="U111">
            <v>3</v>
          </cell>
          <cell r="W111">
            <v>12</v>
          </cell>
        </row>
        <row r="112">
          <cell r="U112">
            <v>1</v>
          </cell>
          <cell r="W112">
            <v>1</v>
          </cell>
        </row>
        <row r="113">
          <cell r="W113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LICITA&#199;&#213;ES/&#212;nibus/Edital%20Porto%20Alegre-RS/EDITAL%203/ARQUIVOS%20AUXILIARES/Ativo%20Imobilizado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SAUERESSIG" refreshedDate="42090.429106134259" createdVersion="4" refreshedVersion="4" minRefreshableVersion="3" recordCount="61">
  <cacheSource type="worksheet">
    <worksheetSource ref="A2:E63" sheet="Ativo Imobilizado 2013" r:id="rId2"/>
  </cacheSource>
  <cacheFields count="5">
    <cacheField name="Empresa" numFmtId="0">
      <sharedItems count="13">
        <s v="Carris"/>
        <s v="B Novo"/>
        <s v="Estoril"/>
        <s v="Gazômetro"/>
        <s v="Navegantes"/>
        <s v="Pres Vargas"/>
        <s v="Sopal"/>
        <s v="Sudeste"/>
        <s v="VTC"/>
        <s v="Trevo"/>
        <s v="VAP"/>
        <s v="Nortran"/>
        <s v="Restinga"/>
      </sharedItems>
    </cacheField>
    <cacheField name="Bacia" numFmtId="0">
      <sharedItems count="4">
        <s v="Pública"/>
        <s v="Sul"/>
        <s v="Leste"/>
        <s v="Norte"/>
      </sharedItems>
    </cacheField>
    <cacheField name="Conta" numFmtId="0">
      <sharedItems count="12">
        <s v="Terrenos"/>
        <s v="Edificações e Benfeitorias"/>
        <s v="Veículos Auxiliares"/>
        <s v="Bens e Equip. da Manutenção"/>
        <s v="Bens da Administração"/>
        <s v="Máq. E Equipamentos"/>
        <s v="Benfeitorias"/>
        <s v="Instalações e Manutenção"/>
        <s v="Edificações"/>
        <s v="Móveis e Utensílios"/>
        <s v="Bens e Equip da Manutenção"/>
        <s v="Benfeitorias em Bens Imóveis"/>
      </sharedItems>
    </cacheField>
    <cacheField name="Nomenclatura tarifária" numFmtId="0">
      <sharedItems count="2">
        <s v="Terrenos, edificações e equipamentos de garagem"/>
        <s v="Veículos de apoio"/>
      </sharedItems>
    </cacheField>
    <cacheField name="Valores2" numFmtId="4">
      <sharedItems containsSemiMixedTypes="0" containsString="0" containsNumber="1" minValue="1635.24" maxValue="4390219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1">
  <r>
    <x v="0"/>
    <x v="0"/>
    <x v="0"/>
    <x v="0"/>
    <n v="11289999.25"/>
  </r>
  <r>
    <x v="0"/>
    <x v="0"/>
    <x v="1"/>
    <x v="0"/>
    <n v="5677929.8100000005"/>
  </r>
  <r>
    <x v="0"/>
    <x v="0"/>
    <x v="2"/>
    <x v="1"/>
    <n v="502316.75"/>
  </r>
  <r>
    <x v="0"/>
    <x v="0"/>
    <x v="3"/>
    <x v="0"/>
    <n v="3526287"/>
  </r>
  <r>
    <x v="0"/>
    <x v="0"/>
    <x v="4"/>
    <x v="0"/>
    <n v="11160369"/>
  </r>
  <r>
    <x v="1"/>
    <x v="1"/>
    <x v="3"/>
    <x v="0"/>
    <n v="1191461"/>
  </r>
  <r>
    <x v="1"/>
    <x v="1"/>
    <x v="5"/>
    <x v="0"/>
    <n v="852233.35"/>
  </r>
  <r>
    <x v="1"/>
    <x v="1"/>
    <x v="6"/>
    <x v="0"/>
    <n v="143053.56"/>
  </r>
  <r>
    <x v="1"/>
    <x v="1"/>
    <x v="4"/>
    <x v="0"/>
    <n v="165785.32999999999"/>
  </r>
  <r>
    <x v="2"/>
    <x v="2"/>
    <x v="2"/>
    <x v="1"/>
    <n v="160442.73000000001"/>
  </r>
  <r>
    <x v="2"/>
    <x v="2"/>
    <x v="7"/>
    <x v="0"/>
    <n v="5859.44"/>
  </r>
  <r>
    <x v="2"/>
    <x v="2"/>
    <x v="5"/>
    <x v="0"/>
    <n v="9863.19"/>
  </r>
  <r>
    <x v="2"/>
    <x v="2"/>
    <x v="4"/>
    <x v="0"/>
    <n v="197603.56"/>
  </r>
  <r>
    <x v="3"/>
    <x v="2"/>
    <x v="0"/>
    <x v="0"/>
    <n v="4073922.51"/>
  </r>
  <r>
    <x v="3"/>
    <x v="2"/>
    <x v="8"/>
    <x v="0"/>
    <n v="6786466.6600000001"/>
  </r>
  <r>
    <x v="3"/>
    <x v="2"/>
    <x v="3"/>
    <x v="0"/>
    <n v="179512.04"/>
  </r>
  <r>
    <x v="3"/>
    <x v="2"/>
    <x v="9"/>
    <x v="0"/>
    <n v="165018.66"/>
  </r>
  <r>
    <x v="3"/>
    <x v="2"/>
    <x v="2"/>
    <x v="1"/>
    <n v="195956.75"/>
  </r>
  <r>
    <x v="4"/>
    <x v="3"/>
    <x v="0"/>
    <x v="0"/>
    <n v="130418.42"/>
  </r>
  <r>
    <x v="4"/>
    <x v="3"/>
    <x v="2"/>
    <x v="1"/>
    <n v="53237.62"/>
  </r>
  <r>
    <x v="4"/>
    <x v="3"/>
    <x v="10"/>
    <x v="0"/>
    <n v="757674.63"/>
  </r>
  <r>
    <x v="4"/>
    <x v="3"/>
    <x v="9"/>
    <x v="0"/>
    <n v="422377.92"/>
  </r>
  <r>
    <x v="5"/>
    <x v="2"/>
    <x v="0"/>
    <x v="0"/>
    <n v="27975050"/>
  </r>
  <r>
    <x v="5"/>
    <x v="2"/>
    <x v="8"/>
    <x v="0"/>
    <n v="2860137.41"/>
  </r>
  <r>
    <x v="5"/>
    <x v="2"/>
    <x v="2"/>
    <x v="1"/>
    <n v="436924.69999999995"/>
  </r>
  <r>
    <x v="5"/>
    <x v="2"/>
    <x v="3"/>
    <x v="0"/>
    <n v="189418"/>
  </r>
  <r>
    <x v="5"/>
    <x v="2"/>
    <x v="4"/>
    <x v="0"/>
    <n v="424477"/>
  </r>
  <r>
    <x v="6"/>
    <x v="3"/>
    <x v="0"/>
    <x v="0"/>
    <n v="5200000"/>
  </r>
  <r>
    <x v="6"/>
    <x v="3"/>
    <x v="1"/>
    <x v="0"/>
    <n v="3468740"/>
  </r>
  <r>
    <x v="6"/>
    <x v="3"/>
    <x v="2"/>
    <x v="1"/>
    <n v="282682"/>
  </r>
  <r>
    <x v="6"/>
    <x v="3"/>
    <x v="3"/>
    <x v="0"/>
    <n v="555000"/>
  </r>
  <r>
    <x v="6"/>
    <x v="3"/>
    <x v="4"/>
    <x v="0"/>
    <n v="928136"/>
  </r>
  <r>
    <x v="7"/>
    <x v="2"/>
    <x v="0"/>
    <x v="0"/>
    <n v="20973629"/>
  </r>
  <r>
    <x v="7"/>
    <x v="2"/>
    <x v="8"/>
    <x v="0"/>
    <n v="5182184"/>
  </r>
  <r>
    <x v="7"/>
    <x v="2"/>
    <x v="2"/>
    <x v="1"/>
    <n v="306777"/>
  </r>
  <r>
    <x v="7"/>
    <x v="2"/>
    <x v="3"/>
    <x v="0"/>
    <n v="476391"/>
  </r>
  <r>
    <x v="7"/>
    <x v="2"/>
    <x v="4"/>
    <x v="0"/>
    <n v="524941"/>
  </r>
  <r>
    <x v="8"/>
    <x v="1"/>
    <x v="0"/>
    <x v="0"/>
    <n v="17387976.93"/>
  </r>
  <r>
    <x v="8"/>
    <x v="1"/>
    <x v="1"/>
    <x v="0"/>
    <n v="161139.35"/>
  </r>
  <r>
    <x v="8"/>
    <x v="1"/>
    <x v="2"/>
    <x v="1"/>
    <n v="366670.98"/>
  </r>
  <r>
    <x v="8"/>
    <x v="1"/>
    <x v="3"/>
    <x v="0"/>
    <n v="351978"/>
  </r>
  <r>
    <x v="8"/>
    <x v="1"/>
    <x v="4"/>
    <x v="0"/>
    <n v="1265981"/>
  </r>
  <r>
    <x v="9"/>
    <x v="1"/>
    <x v="11"/>
    <x v="0"/>
    <n v="9532951"/>
  </r>
  <r>
    <x v="9"/>
    <x v="1"/>
    <x v="2"/>
    <x v="1"/>
    <n v="1035951.13"/>
  </r>
  <r>
    <x v="9"/>
    <x v="1"/>
    <x v="3"/>
    <x v="0"/>
    <n v="1144626"/>
  </r>
  <r>
    <x v="9"/>
    <x v="1"/>
    <x v="4"/>
    <x v="0"/>
    <n v="405239"/>
  </r>
  <r>
    <x v="10"/>
    <x v="2"/>
    <x v="0"/>
    <x v="0"/>
    <n v="43902196"/>
  </r>
  <r>
    <x v="10"/>
    <x v="2"/>
    <x v="8"/>
    <x v="0"/>
    <n v="12641922"/>
  </r>
  <r>
    <x v="10"/>
    <x v="2"/>
    <x v="2"/>
    <x v="1"/>
    <n v="366206.09"/>
  </r>
  <r>
    <x v="10"/>
    <x v="2"/>
    <x v="3"/>
    <x v="0"/>
    <n v="54375"/>
  </r>
  <r>
    <x v="10"/>
    <x v="2"/>
    <x v="4"/>
    <x v="0"/>
    <n v="627839"/>
  </r>
  <r>
    <x v="11"/>
    <x v="3"/>
    <x v="0"/>
    <x v="0"/>
    <n v="1635.24"/>
  </r>
  <r>
    <x v="11"/>
    <x v="3"/>
    <x v="8"/>
    <x v="0"/>
    <n v="644531"/>
  </r>
  <r>
    <x v="11"/>
    <x v="3"/>
    <x v="2"/>
    <x v="1"/>
    <n v="374000.05"/>
  </r>
  <r>
    <x v="11"/>
    <x v="3"/>
    <x v="3"/>
    <x v="0"/>
    <n v="899183"/>
  </r>
  <r>
    <x v="11"/>
    <x v="3"/>
    <x v="4"/>
    <x v="0"/>
    <n v="800227"/>
  </r>
  <r>
    <x v="12"/>
    <x v="1"/>
    <x v="0"/>
    <x v="0"/>
    <n v="181663.34"/>
  </r>
  <r>
    <x v="12"/>
    <x v="1"/>
    <x v="8"/>
    <x v="0"/>
    <n v="1427331.83"/>
  </r>
  <r>
    <x v="12"/>
    <x v="1"/>
    <x v="2"/>
    <x v="1"/>
    <n v="267327.90000000002"/>
  </r>
  <r>
    <x v="12"/>
    <x v="1"/>
    <x v="3"/>
    <x v="0"/>
    <n v="674071"/>
  </r>
  <r>
    <x v="12"/>
    <x v="1"/>
    <x v="4"/>
    <x v="0"/>
    <n v="67864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1" cacheId="5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>
  <location ref="A3:D22" firstHeaderRow="1" firstDataRow="2" firstDataCol="1"/>
  <pivotFields count="5">
    <pivotField axis="axisRow" showAll="0">
      <items count="14">
        <item x="1"/>
        <item x="0"/>
        <item x="2"/>
        <item x="3"/>
        <item x="4"/>
        <item x="11"/>
        <item x="5"/>
        <item x="12"/>
        <item x="6"/>
        <item x="7"/>
        <item x="9"/>
        <item x="10"/>
        <item x="8"/>
        <item t="default"/>
      </items>
    </pivotField>
    <pivotField axis="axisRow" showAll="0">
      <items count="5">
        <item x="2"/>
        <item x="3"/>
        <item x="0"/>
        <item x="1"/>
        <item t="default"/>
      </items>
    </pivotField>
    <pivotField showAll="0"/>
    <pivotField axis="axisCol" showAll="0">
      <items count="3">
        <item x="0"/>
        <item x="1"/>
        <item t="default"/>
      </items>
    </pivotField>
    <pivotField dataField="1" numFmtId="4" showAll="0"/>
  </pivotFields>
  <rowFields count="2">
    <field x="1"/>
    <field x="0"/>
  </rowFields>
  <rowItems count="18">
    <i>
      <x/>
    </i>
    <i r="1">
      <x v="2"/>
    </i>
    <i r="1">
      <x v="3"/>
    </i>
    <i r="1">
      <x v="6"/>
    </i>
    <i r="1">
      <x v="9"/>
    </i>
    <i r="1">
      <x v="11"/>
    </i>
    <i>
      <x v="1"/>
    </i>
    <i r="1">
      <x v="4"/>
    </i>
    <i r="1">
      <x v="5"/>
    </i>
    <i r="1">
      <x v="8"/>
    </i>
    <i>
      <x v="2"/>
    </i>
    <i r="1">
      <x v="1"/>
    </i>
    <i>
      <x v="3"/>
    </i>
    <i r="1">
      <x/>
    </i>
    <i r="1">
      <x v="7"/>
    </i>
    <i r="1">
      <x v="10"/>
    </i>
    <i r="1">
      <x v="12"/>
    </i>
    <i t="grand">
      <x/>
    </i>
  </rowItems>
  <colFields count="1">
    <field x="3"/>
  </colFields>
  <colItems count="3">
    <i>
      <x/>
    </i>
    <i>
      <x v="1"/>
    </i>
    <i t="grand">
      <x/>
    </i>
  </colItems>
  <dataFields count="1">
    <dataField name="Soma de Valores2" fld="4" baseField="0" baseItem="2" numFmtId="4"/>
  </dataFields>
  <formats count="10">
    <format dxfId="15">
      <pivotArea dataOnly="0" labelOnly="1" fieldPosition="0">
        <references count="1">
          <reference field="3" count="1">
            <x v="0"/>
          </reference>
        </references>
      </pivotArea>
    </format>
    <format dxfId="14">
      <pivotArea outline="0" collapsedLevelsAreSubtotals="1" fieldPosition="0">
        <references count="1">
          <reference field="3" count="1" selected="0">
            <x v="0"/>
          </reference>
        </references>
      </pivotArea>
    </format>
    <format dxfId="13">
      <pivotArea field="3" type="button" dataOnly="0" labelOnly="1" outline="0" axis="axisCol" fieldPosition="0"/>
    </format>
    <format dxfId="12">
      <pivotArea dataOnly="0" labelOnly="1" fieldPosition="0">
        <references count="1">
          <reference field="3" count="1">
            <x v="0"/>
          </reference>
        </references>
      </pivotArea>
    </format>
    <format dxfId="11">
      <pivotArea outline="0" fieldPosition="0">
        <references count="1">
          <reference field="4294967294" count="1">
            <x v="0"/>
          </reference>
        </references>
      </pivotArea>
    </format>
    <format dxfId="10">
      <pivotArea dataOnly="0" labelOnly="1" fieldPosition="0">
        <references count="1">
          <reference field="3" count="1">
            <x v="1"/>
          </reference>
        </references>
      </pivotArea>
    </format>
    <format dxfId="9">
      <pivotArea dataOnly="0" labelOnly="1" fieldPosition="0">
        <references count="1">
          <reference field="3" count="1">
            <x v="1"/>
          </reference>
        </references>
      </pivotArea>
    </format>
    <format dxfId="8">
      <pivotArea dataOnly="0" labelOnly="1" grandCol="1" outline="0" fieldPosition="0"/>
    </format>
    <format dxfId="7">
      <pivotArea dataOnly="0" labelOnly="1" grandCol="1" outline="0" fieldPosition="0"/>
    </format>
    <format dxfId="6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ela dinâmica1" cacheId="5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>
  <location ref="A3:C19" firstHeaderRow="1" firstDataRow="2" firstDataCol="1"/>
  <pivotFields count="5">
    <pivotField axis="axisRow" showAll="0">
      <items count="14">
        <item x="1"/>
        <item x="0"/>
        <item x="2"/>
        <item x="3"/>
        <item x="4"/>
        <item x="11"/>
        <item x="5"/>
        <item x="12"/>
        <item x="6"/>
        <item x="7"/>
        <item x="9"/>
        <item x="10"/>
        <item x="8"/>
        <item t="default"/>
      </items>
    </pivotField>
    <pivotField axis="axisRow" showAll="0">
      <items count="5">
        <item x="2"/>
        <item x="3"/>
        <item x="0"/>
        <item x="1"/>
        <item t="default"/>
      </items>
    </pivotField>
    <pivotField axis="axisCol" showAll="0">
      <items count="13">
        <item h="1" x="6"/>
        <item h="1" x="11"/>
        <item h="1" x="4"/>
        <item h="1" x="10"/>
        <item h="1" x="3"/>
        <item h="1" x="8"/>
        <item h="1" x="1"/>
        <item h="1" x="7"/>
        <item h="1" x="5"/>
        <item h="1" x="9"/>
        <item x="0"/>
        <item h="1" x="2"/>
        <item t="default"/>
      </items>
    </pivotField>
    <pivotField showAll="0">
      <items count="3">
        <item x="0"/>
        <item x="1"/>
        <item t="default"/>
      </items>
    </pivotField>
    <pivotField dataField="1" numFmtId="4" showAll="0"/>
  </pivotFields>
  <rowFields count="2">
    <field x="1"/>
    <field x="0"/>
  </rowFields>
  <rowItems count="15">
    <i>
      <x/>
    </i>
    <i r="1">
      <x v="3"/>
    </i>
    <i r="1">
      <x v="6"/>
    </i>
    <i r="1">
      <x v="9"/>
    </i>
    <i r="1">
      <x v="11"/>
    </i>
    <i>
      <x v="1"/>
    </i>
    <i r="1">
      <x v="4"/>
    </i>
    <i r="1">
      <x v="5"/>
    </i>
    <i r="1">
      <x v="8"/>
    </i>
    <i>
      <x v="2"/>
    </i>
    <i r="1">
      <x v="1"/>
    </i>
    <i>
      <x v="3"/>
    </i>
    <i r="1">
      <x v="7"/>
    </i>
    <i r="1">
      <x v="12"/>
    </i>
    <i t="grand">
      <x/>
    </i>
  </rowItems>
  <colFields count="1">
    <field x="2"/>
  </colFields>
  <colItems count="2">
    <i>
      <x v="10"/>
    </i>
    <i t="grand">
      <x/>
    </i>
  </colItems>
  <dataFields count="1">
    <dataField name="Soma de Valores2" fld="4" baseField="0" baseItem="2" numFmtId="4"/>
  </dataFields>
  <formats count="6">
    <format dxfId="5">
      <pivotArea field="3" type="button" dataOnly="0" labelOnly="1" outline="0"/>
    </format>
    <format dxfId="4">
      <pivotArea outline="0" fieldPosition="0">
        <references count="1">
          <reference field="4294967294" count="1">
            <x v="0"/>
          </reference>
        </references>
      </pivotArea>
    </format>
    <format dxfId="3">
      <pivotArea dataOnly="0" labelOnly="1" grandCol="1" outline="0" fieldPosition="0"/>
    </format>
    <format dxfId="2">
      <pivotArea dataOnly="0" labelOnly="1" grandCol="1" outline="0" fieldPosition="0"/>
    </format>
    <format dxfId="1">
      <pivotArea dataOnly="0" labelOnly="1" fieldPosition="0">
        <references count="1">
          <reference field="2" count="0"/>
        </references>
      </pivotArea>
    </format>
    <format dxfId="0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4.bin"/><Relationship Id="rId3" Type="http://schemas.openxmlformats.org/officeDocument/2006/relationships/vmlDrawing" Target="../drawings/vmlDrawing2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2.wmf"/><Relationship Id="rId10" Type="http://schemas.openxmlformats.org/officeDocument/2006/relationships/oleObject" Target="../embeddings/oleObject6.bin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pivotTable" Target="../pivotTables/pivotTable1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pivotTable" Target="../pivotTables/pivotTable2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view="pageLayout" zoomScaleNormal="100" workbookViewId="0">
      <selection activeCell="G4" sqref="G4"/>
    </sheetView>
  </sheetViews>
  <sheetFormatPr defaultRowHeight="12.75" x14ac:dyDescent="0.2"/>
  <cols>
    <col min="1" max="16384" width="9.140625" style="95"/>
  </cols>
  <sheetData>
    <row r="1" spans="1:11" ht="15.75" x14ac:dyDescent="0.2">
      <c r="A1" s="94"/>
      <c r="B1" s="94"/>
      <c r="C1" s="94"/>
      <c r="D1" s="94"/>
      <c r="E1" s="94"/>
      <c r="F1" s="94"/>
      <c r="G1" s="94"/>
      <c r="H1" s="94"/>
      <c r="I1" s="94"/>
    </row>
    <row r="2" spans="1:11" ht="15.75" x14ac:dyDescent="0.2">
      <c r="A2" s="281" t="s">
        <v>302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</row>
    <row r="3" spans="1:11" ht="13.5" thickBot="1" x14ac:dyDescent="0.25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3.5" thickBot="1" x14ac:dyDescent="0.25">
      <c r="A4" s="106" t="s">
        <v>303</v>
      </c>
      <c r="B4" s="106"/>
      <c r="C4" s="106"/>
      <c r="D4" s="106"/>
      <c r="E4" s="106"/>
      <c r="F4" s="106"/>
      <c r="G4" s="349"/>
      <c r="H4" s="106" t="s">
        <v>313</v>
      </c>
      <c r="I4" s="106"/>
      <c r="J4" s="106"/>
      <c r="K4" s="106"/>
    </row>
    <row r="5" spans="1:11" x14ac:dyDescent="0.2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x14ac:dyDescent="0.2">
      <c r="A6" s="106" t="s">
        <v>304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x14ac:dyDescent="0.2">
      <c r="A7" s="106" t="s">
        <v>305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x14ac:dyDescent="0.2">
      <c r="A8" s="106"/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x14ac:dyDescent="0.2">
      <c r="A9" s="106" t="s">
        <v>306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</row>
    <row r="10" spans="1:11" x14ac:dyDescent="0.2">
      <c r="A10" s="106" t="s">
        <v>307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</row>
    <row r="11" spans="1:11" x14ac:dyDescent="0.2">
      <c r="A11" s="106"/>
      <c r="B11" s="106"/>
      <c r="C11" s="106"/>
      <c r="D11" s="106"/>
      <c r="E11" s="106"/>
      <c r="F11" s="106"/>
      <c r="G11" s="106"/>
      <c r="H11" s="106"/>
      <c r="I11" s="106"/>
      <c r="J11" s="106"/>
      <c r="K11" s="106"/>
    </row>
    <row r="12" spans="1:11" x14ac:dyDescent="0.2">
      <c r="A12" s="106" t="s">
        <v>308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</row>
    <row r="13" spans="1:11" x14ac:dyDescent="0.2">
      <c r="A13" s="106" t="s">
        <v>309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</row>
    <row r="14" spans="1:11" x14ac:dyDescent="0.2">
      <c r="A14" s="106"/>
      <c r="B14" s="106"/>
      <c r="C14" s="106"/>
      <c r="D14" s="106"/>
      <c r="E14" s="106"/>
      <c r="F14" s="106"/>
      <c r="G14" s="106"/>
      <c r="H14" s="106"/>
      <c r="I14" s="106"/>
      <c r="J14" s="106"/>
      <c r="K14" s="106"/>
    </row>
    <row r="15" spans="1:11" x14ac:dyDescent="0.2">
      <c r="A15" s="106" t="s">
        <v>310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</row>
    <row r="16" spans="1:11" x14ac:dyDescent="0.2">
      <c r="A16" s="106"/>
      <c r="B16" s="106"/>
      <c r="C16" s="106"/>
      <c r="D16" s="106"/>
      <c r="E16" s="106"/>
      <c r="F16" s="106"/>
      <c r="G16" s="106"/>
      <c r="H16" s="106"/>
      <c r="I16" s="106"/>
      <c r="J16" s="106"/>
      <c r="K16" s="106"/>
    </row>
    <row r="17" spans="1:11" x14ac:dyDescent="0.2">
      <c r="A17" s="106" t="s">
        <v>311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</row>
    <row r="18" spans="1:11" x14ac:dyDescent="0.2">
      <c r="A18" s="106"/>
      <c r="B18" s="106"/>
      <c r="C18" s="106"/>
      <c r="D18" s="106"/>
      <c r="E18" s="106"/>
      <c r="F18" s="106"/>
      <c r="G18" s="106"/>
      <c r="H18" s="106"/>
      <c r="I18" s="106"/>
      <c r="J18" s="106"/>
      <c r="K18" s="106"/>
    </row>
    <row r="19" spans="1:11" x14ac:dyDescent="0.2">
      <c r="A19" s="106" t="s">
        <v>312</v>
      </c>
      <c r="B19" s="106"/>
      <c r="C19" s="106"/>
      <c r="D19" s="106"/>
      <c r="E19" s="106"/>
      <c r="F19" s="106"/>
      <c r="G19" s="106"/>
      <c r="H19" s="106"/>
      <c r="I19" s="106"/>
      <c r="J19" s="106"/>
      <c r="K19" s="106"/>
    </row>
    <row r="20" spans="1:11" x14ac:dyDescent="0.2">
      <c r="A20" s="106"/>
      <c r="B20" s="106"/>
      <c r="C20" s="106"/>
      <c r="D20" s="106"/>
      <c r="E20" s="106"/>
      <c r="F20" s="106"/>
      <c r="G20" s="106"/>
      <c r="H20" s="106"/>
      <c r="I20" s="106"/>
      <c r="J20" s="106"/>
      <c r="K20" s="106"/>
    </row>
    <row r="21" spans="1:11" x14ac:dyDescent="0.2">
      <c r="A21" s="106"/>
      <c r="B21" s="106"/>
      <c r="C21" s="106"/>
      <c r="D21" s="106"/>
      <c r="E21" s="106"/>
      <c r="F21" s="106"/>
      <c r="G21" s="106"/>
      <c r="H21" s="106"/>
      <c r="I21" s="106"/>
      <c r="J21" s="106"/>
      <c r="K21" s="106"/>
    </row>
  </sheetData>
  <sheetProtection password="DB60" sheet="1" objects="1" scenarios="1"/>
  <pageMargins left="0.27" right="0.23" top="0.78740157499999996" bottom="0.78740157499999996" header="0.31496062000000002" footer="0.31496062000000002"/>
  <pageSetup paperSize="9" orientation="portrait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topLeftCell="A25" zoomScaleNormal="100" zoomScaleSheetLayoutView="70" workbookViewId="0">
      <selection activeCell="B5" sqref="B5"/>
    </sheetView>
  </sheetViews>
  <sheetFormatPr defaultColWidth="10.28515625" defaultRowHeight="12.75" x14ac:dyDescent="0.2"/>
  <cols>
    <col min="1" max="1" width="47.28515625" style="2" customWidth="1"/>
    <col min="2" max="2" width="23.140625" style="3" customWidth="1"/>
    <col min="3" max="3" width="20.7109375" style="4" customWidth="1"/>
    <col min="4" max="16384" width="10.28515625" style="2"/>
  </cols>
  <sheetData>
    <row r="1" spans="1:3" ht="15.75" x14ac:dyDescent="0.2">
      <c r="A1" s="714" t="s">
        <v>447</v>
      </c>
      <c r="B1" s="714"/>
      <c r="C1" s="714"/>
    </row>
    <row r="2" spans="1:3" s="1" customFormat="1" ht="15.75" x14ac:dyDescent="0.25">
      <c r="A2" s="168"/>
      <c r="B2" s="169"/>
      <c r="C2" s="170"/>
    </row>
    <row r="3" spans="1:3" ht="15.75" x14ac:dyDescent="0.2">
      <c r="A3" s="171" t="s">
        <v>11</v>
      </c>
      <c r="B3" s="172" t="s">
        <v>205</v>
      </c>
      <c r="C3" s="173" t="s">
        <v>238</v>
      </c>
    </row>
    <row r="4" spans="1:3" s="6" customFormat="1" ht="16.5" customHeight="1" x14ac:dyDescent="0.2">
      <c r="A4" s="174" t="s">
        <v>0</v>
      </c>
      <c r="B4" s="175">
        <f>SUM(B5:B6,B7)</f>
        <v>1.5561163051762001</v>
      </c>
      <c r="C4" s="176">
        <f>SUM(C5:C7)</f>
        <v>0.21145336293805306</v>
      </c>
    </row>
    <row r="5" spans="1:3" s="6" customFormat="1" ht="21" customHeight="1" x14ac:dyDescent="0.2">
      <c r="A5" s="177" t="s">
        <v>134</v>
      </c>
      <c r="B5" s="178">
        <f>'05 CustVar'!E40</f>
        <v>1.436203145965909</v>
      </c>
      <c r="C5" s="179">
        <f>B5/$B$33</f>
        <v>0.1951589248608997</v>
      </c>
    </row>
    <row r="6" spans="1:3" s="6" customFormat="1" ht="21" customHeight="1" x14ac:dyDescent="0.2">
      <c r="A6" s="180" t="s">
        <v>136</v>
      </c>
      <c r="B6" s="178">
        <f>'05 CustVar'!E42</f>
        <v>3.1883709840443183E-2</v>
      </c>
      <c r="C6" s="179">
        <f t="shared" ref="C6:C7" si="0">B6/$B$33</f>
        <v>4.332528131911974E-3</v>
      </c>
    </row>
    <row r="7" spans="1:3" s="6" customFormat="1" ht="21" customHeight="1" x14ac:dyDescent="0.2">
      <c r="A7" s="177" t="s">
        <v>135</v>
      </c>
      <c r="B7" s="178">
        <f>'05 CustVar'!E62</f>
        <v>8.8029449369848023E-2</v>
      </c>
      <c r="C7" s="179">
        <f t="shared" si="0"/>
        <v>1.1961909945241366E-2</v>
      </c>
    </row>
    <row r="8" spans="1:3" s="6" customFormat="1" ht="21" customHeight="1" x14ac:dyDescent="0.2">
      <c r="A8" s="174" t="s">
        <v>2</v>
      </c>
      <c r="B8" s="175">
        <f>SUM(B9,B17,B18,B24)</f>
        <v>5.0445709844154623</v>
      </c>
      <c r="C8" s="176">
        <f>SUM(C9,C17,C18,C24)</f>
        <v>0.74386541494897618</v>
      </c>
    </row>
    <row r="9" spans="1:3" s="6" customFormat="1" ht="21" customHeight="1" x14ac:dyDescent="0.2">
      <c r="A9" s="181" t="s">
        <v>206</v>
      </c>
      <c r="B9" s="182">
        <f>SUM(B10:B16)</f>
        <v>1.2070130149713783</v>
      </c>
      <c r="C9" s="183">
        <f>SUM(C10:C17)</f>
        <v>0.22239762015146908</v>
      </c>
    </row>
    <row r="10" spans="1:3" s="6" customFormat="1" ht="21" customHeight="1" x14ac:dyDescent="0.2">
      <c r="A10" s="180" t="s">
        <v>133</v>
      </c>
      <c r="B10" s="178">
        <f>'07 Deprec.'!E25</f>
        <v>0.74063934397685649</v>
      </c>
      <c r="C10" s="184">
        <f>B10/$B$33</f>
        <v>0.10064201466638227</v>
      </c>
    </row>
    <row r="11" spans="1:3" s="6" customFormat="1" ht="27" customHeight="1" x14ac:dyDescent="0.2">
      <c r="A11" s="185" t="s">
        <v>228</v>
      </c>
      <c r="B11" s="178">
        <f>'07 Deprec.'!E33</f>
        <v>3.7205314754187216E-2</v>
      </c>
      <c r="C11" s="184">
        <f t="shared" ref="C11:C16" si="1">B11/$B$33</f>
        <v>5.0556561214432109E-3</v>
      </c>
    </row>
    <row r="12" spans="1:3" s="6" customFormat="1" ht="21" customHeight="1" x14ac:dyDescent="0.2">
      <c r="A12" s="186" t="s">
        <v>229</v>
      </c>
      <c r="B12" s="187">
        <f>'07 Deprec.'!E41</f>
        <v>5.0277452370523267E-3</v>
      </c>
      <c r="C12" s="184">
        <f t="shared" si="1"/>
        <v>6.8319677316800158E-4</v>
      </c>
    </row>
    <row r="13" spans="1:3" s="6" customFormat="1" ht="21" customHeight="1" x14ac:dyDescent="0.2">
      <c r="A13" s="188" t="s">
        <v>216</v>
      </c>
      <c r="B13" s="187">
        <f>'08 Remun.'!F25</f>
        <v>0.26023611627537657</v>
      </c>
      <c r="C13" s="184">
        <f t="shared" si="1"/>
        <v>3.5362268078114982E-2</v>
      </c>
    </row>
    <row r="14" spans="1:3" s="6" customFormat="1" ht="27.75" customHeight="1" x14ac:dyDescent="0.2">
      <c r="A14" s="185" t="s">
        <v>239</v>
      </c>
      <c r="B14" s="187">
        <f>'08 Remun.'!F33</f>
        <v>0.15686565139603259</v>
      </c>
      <c r="C14" s="184">
        <f t="shared" si="1"/>
        <v>2.1315739322841649E-2</v>
      </c>
    </row>
    <row r="15" spans="1:3" s="6" customFormat="1" ht="27" customHeight="1" x14ac:dyDescent="0.2">
      <c r="A15" s="188" t="s">
        <v>217</v>
      </c>
      <c r="B15" s="187">
        <f>'08 Remun.'!F41</f>
        <v>4.0221961896418617E-3</v>
      </c>
      <c r="C15" s="184">
        <f t="shared" si="1"/>
        <v>5.4655741853440129E-4</v>
      </c>
    </row>
    <row r="16" spans="1:3" s="6" customFormat="1" ht="21" customHeight="1" x14ac:dyDescent="0.2">
      <c r="A16" s="186" t="s">
        <v>237</v>
      </c>
      <c r="B16" s="187">
        <f>'08 Remun.'!F49</f>
        <v>3.0166471422313963E-3</v>
      </c>
      <c r="C16" s="184">
        <f t="shared" si="1"/>
        <v>4.0991806390080094E-4</v>
      </c>
    </row>
    <row r="17" spans="1:3" s="6" customFormat="1" ht="21" customHeight="1" x14ac:dyDescent="0.2">
      <c r="A17" s="181" t="s">
        <v>207</v>
      </c>
      <c r="B17" s="189">
        <f>'06 CustPeças&amp;Aces'!B9</f>
        <v>0.42964368389356256</v>
      </c>
      <c r="C17" s="183">
        <f>B17/$B$33</f>
        <v>5.8382269707083781E-2</v>
      </c>
    </row>
    <row r="18" spans="1:3" s="63" customFormat="1" ht="21" customHeight="1" x14ac:dyDescent="0.2">
      <c r="A18" s="181" t="s">
        <v>208</v>
      </c>
      <c r="B18" s="182">
        <f>SUM(B19:B23)</f>
        <v>3.0332589895062605</v>
      </c>
      <c r="C18" s="183">
        <f>SUM(C19:C23)</f>
        <v>0.41217537009263189</v>
      </c>
    </row>
    <row r="19" spans="1:3" s="6" customFormat="1" ht="21" customHeight="1" x14ac:dyDescent="0.2">
      <c r="A19" s="180" t="s">
        <v>128</v>
      </c>
      <c r="B19" s="178">
        <f>'09 CustosPessoal'!E38</f>
        <v>2.4299055857156069</v>
      </c>
      <c r="C19" s="179">
        <f>B19/$B$33</f>
        <v>0.33018849941511619</v>
      </c>
    </row>
    <row r="20" spans="1:3" s="6" customFormat="1" ht="21" customHeight="1" x14ac:dyDescent="0.2">
      <c r="A20" s="180" t="s">
        <v>129</v>
      </c>
      <c r="B20" s="178">
        <f>'09 CustosPessoal'!E45</f>
        <v>0.2609718599058562</v>
      </c>
      <c r="C20" s="179">
        <f t="shared" ref="C20:C23" si="2">B20/$B$33</f>
        <v>3.5462244837183479E-2</v>
      </c>
    </row>
    <row r="21" spans="1:3" s="6" customFormat="1" ht="21" customHeight="1" x14ac:dyDescent="0.2">
      <c r="A21" s="180" t="s">
        <v>130</v>
      </c>
      <c r="B21" s="178">
        <f>'09 CustosPessoal'!E52</f>
        <v>0.16936441932437782</v>
      </c>
      <c r="C21" s="179">
        <f t="shared" si="2"/>
        <v>2.3014138409233602E-2</v>
      </c>
    </row>
    <row r="22" spans="1:3" s="6" customFormat="1" ht="21" customHeight="1" x14ac:dyDescent="0.2">
      <c r="A22" s="180" t="s">
        <v>131</v>
      </c>
      <c r="B22" s="178">
        <f>'09 CustosPessoal'!E57</f>
        <v>0.15293108569033581</v>
      </c>
      <c r="C22" s="179">
        <f t="shared" si="2"/>
        <v>2.0781089600707858E-2</v>
      </c>
    </row>
    <row r="23" spans="1:3" s="6" customFormat="1" ht="21" customHeight="1" x14ac:dyDescent="0.2">
      <c r="A23" s="180" t="s">
        <v>132</v>
      </c>
      <c r="B23" s="178">
        <f>'09 CustosPessoal'!E69</f>
        <v>2.0086038870083738E-2</v>
      </c>
      <c r="C23" s="179">
        <f t="shared" si="2"/>
        <v>2.7293978303907927E-3</v>
      </c>
    </row>
    <row r="24" spans="1:3" s="6" customFormat="1" ht="21" customHeight="1" x14ac:dyDescent="0.2">
      <c r="A24" s="181" t="s">
        <v>209</v>
      </c>
      <c r="B24" s="182">
        <f>SUM(B25:B26)</f>
        <v>0.37465529604426084</v>
      </c>
      <c r="C24" s="183">
        <f>SUM(C25:C26)</f>
        <v>5.0910154997791383E-2</v>
      </c>
    </row>
    <row r="25" spans="1:3" s="6" customFormat="1" ht="21" customHeight="1" x14ac:dyDescent="0.2">
      <c r="A25" s="180" t="s">
        <v>301</v>
      </c>
      <c r="B25" s="178">
        <f>'10 CustosAdmin'!B9</f>
        <v>0.36565419905835106</v>
      </c>
      <c r="C25" s="179">
        <f>B25/$B$33</f>
        <v>4.9687038048581933E-2</v>
      </c>
    </row>
    <row r="26" spans="1:3" s="6" customFormat="1" ht="21" customHeight="1" x14ac:dyDescent="0.2">
      <c r="A26" s="180" t="s">
        <v>127</v>
      </c>
      <c r="B26" s="178">
        <f>'10 CustosAdmin'!B29</f>
        <v>9.0010969859097966E-3</v>
      </c>
      <c r="C26" s="179">
        <f>B26/$B$33</f>
        <v>1.2231169492094526E-3</v>
      </c>
    </row>
    <row r="27" spans="1:3" s="6" customFormat="1" ht="21" customHeight="1" x14ac:dyDescent="0.2">
      <c r="A27" s="174" t="s">
        <v>14</v>
      </c>
      <c r="B27" s="175">
        <f>B4+B8</f>
        <v>6.6006872895916624</v>
      </c>
      <c r="C27" s="176">
        <f>B27/B33</f>
        <v>0.89693650817994541</v>
      </c>
    </row>
    <row r="28" spans="1:3" s="6" customFormat="1" ht="21" customHeight="1" x14ac:dyDescent="0.2">
      <c r="A28" s="190" t="s">
        <v>299</v>
      </c>
      <c r="B28" s="191">
        <f>'02 Coeficientes'!$B$75/100</f>
        <v>7.2400000000000006E-2</v>
      </c>
      <c r="C28" s="176"/>
    </row>
    <row r="29" spans="1:3" s="6" customFormat="1" ht="21" customHeight="1" x14ac:dyDescent="0.2">
      <c r="A29" s="192" t="s">
        <v>290</v>
      </c>
      <c r="B29" s="175">
        <f>SUM(B4,B17,B18,B24)*B28</f>
        <v>0.39050201748250857</v>
      </c>
      <c r="C29" s="176">
        <f>B29/B33</f>
        <v>5.3063491820054556E-2</v>
      </c>
    </row>
    <row r="30" spans="1:3" s="6" customFormat="1" ht="35.25" customHeight="1" x14ac:dyDescent="0.2">
      <c r="A30" s="193" t="s">
        <v>375</v>
      </c>
      <c r="B30" s="175">
        <f>B27+B29</f>
        <v>6.9911893070741709</v>
      </c>
      <c r="C30" s="194">
        <f>C27+C29</f>
        <v>0.95</v>
      </c>
    </row>
    <row r="31" spans="1:3" s="6" customFormat="1" ht="21" customHeight="1" x14ac:dyDescent="0.2">
      <c r="A31" s="195" t="s">
        <v>300</v>
      </c>
      <c r="B31" s="191">
        <f>'02 Coeficientes'!B67/100</f>
        <v>0.03</v>
      </c>
      <c r="C31" s="191">
        <f>B31</f>
        <v>0.03</v>
      </c>
    </row>
    <row r="32" spans="1:3" s="6" customFormat="1" ht="21" customHeight="1" x14ac:dyDescent="0.2">
      <c r="A32" s="196" t="s">
        <v>125</v>
      </c>
      <c r="B32" s="197">
        <f>'02 Coeficientes'!B68/100</f>
        <v>0.02</v>
      </c>
      <c r="C32" s="197">
        <f>B32</f>
        <v>0.02</v>
      </c>
    </row>
    <row r="33" spans="1:4" s="6" customFormat="1" ht="21" customHeight="1" x14ac:dyDescent="0.2">
      <c r="A33" s="174" t="s">
        <v>204</v>
      </c>
      <c r="B33" s="175">
        <f>B30/(1-SUM(B31:B32))</f>
        <v>7.3591466390254432</v>
      </c>
      <c r="C33" s="176">
        <f>C30+C31+C32</f>
        <v>1</v>
      </c>
    </row>
    <row r="34" spans="1:4" s="6" customFormat="1" ht="21" customHeight="1" x14ac:dyDescent="0.2">
      <c r="A34" s="196" t="s">
        <v>126</v>
      </c>
      <c r="B34" s="175">
        <f>'03 Dados_Oper'!B12</f>
        <v>2.0939809633720903</v>
      </c>
      <c r="C34" s="176"/>
      <c r="D34" s="64"/>
    </row>
    <row r="35" spans="1:4" s="6" customFormat="1" ht="21" customHeight="1" x14ac:dyDescent="0.2">
      <c r="A35" s="198" t="s">
        <v>448</v>
      </c>
      <c r="B35" s="715">
        <f>B33/B34</f>
        <v>3.5144286255470405</v>
      </c>
      <c r="C35" s="716"/>
    </row>
    <row r="36" spans="1:4" ht="15.75" x14ac:dyDescent="0.25">
      <c r="B36" s="5"/>
      <c r="C36" s="47"/>
    </row>
  </sheetData>
  <sheetProtection password="DB60" sheet="1" objects="1" scenarios="1"/>
  <mergeCells count="2">
    <mergeCell ref="A1:C1"/>
    <mergeCell ref="B35:C35"/>
  </mergeCells>
  <printOptions horizontalCentered="1"/>
  <pageMargins left="0.47244094488188981" right="0.31496062992125984" top="0.43307086614173229" bottom="0.23622047244094491" header="0.19685039370078741" footer="0.19685039370078741"/>
  <pageSetup paperSize="9" scale="9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B9" sqref="B9"/>
    </sheetView>
  </sheetViews>
  <sheetFormatPr defaultColWidth="8.85546875" defaultRowHeight="12.75" customHeight="1" x14ac:dyDescent="0.2"/>
  <cols>
    <col min="1" max="1" width="34.140625" style="21" customWidth="1"/>
    <col min="2" max="2" width="11.28515625" style="21" customWidth="1"/>
    <col min="3" max="3" width="7.7109375" style="21" customWidth="1"/>
    <col min="4" max="4" width="21" style="21" customWidth="1"/>
    <col min="5" max="5" width="14.85546875" style="21" customWidth="1"/>
    <col min="6" max="6" width="27.7109375" style="21" bestFit="1" customWidth="1"/>
    <col min="7" max="16384" width="8.85546875" style="21"/>
  </cols>
  <sheetData>
    <row r="1" spans="1:6" ht="15.75" customHeight="1" x14ac:dyDescent="0.25">
      <c r="A1" s="292" t="s">
        <v>90</v>
      </c>
      <c r="B1" s="104"/>
      <c r="C1" s="104"/>
      <c r="D1" s="104"/>
      <c r="E1" s="104"/>
    </row>
    <row r="2" spans="1:6" ht="12.75" customHeight="1" x14ac:dyDescent="0.2">
      <c r="A2" s="301"/>
      <c r="B2" s="301"/>
      <c r="C2" s="301"/>
      <c r="D2" s="301"/>
      <c r="E2" s="301"/>
    </row>
    <row r="3" spans="1:6" ht="12.75" customHeight="1" x14ac:dyDescent="0.2">
      <c r="A3" s="295"/>
      <c r="B3" s="302"/>
      <c r="C3" s="295"/>
      <c r="D3" s="295"/>
      <c r="E3" s="295"/>
      <c r="F3" s="7"/>
    </row>
    <row r="4" spans="1:6" ht="23.25" customHeight="1" x14ac:dyDescent="0.2">
      <c r="A4" s="303" t="s">
        <v>15</v>
      </c>
      <c r="B4" s="304" t="s">
        <v>91</v>
      </c>
      <c r="C4" s="304" t="s">
        <v>145</v>
      </c>
      <c r="D4" s="304" t="s">
        <v>18</v>
      </c>
      <c r="E4" s="304" t="s">
        <v>92</v>
      </c>
      <c r="F4" s="7"/>
    </row>
    <row r="5" spans="1:6" ht="23.25" customHeight="1" x14ac:dyDescent="0.2">
      <c r="A5" s="109" t="s">
        <v>93</v>
      </c>
      <c r="B5" s="305">
        <v>2.5573999999999999</v>
      </c>
      <c r="C5" s="110" t="s">
        <v>94</v>
      </c>
      <c r="D5" s="110" t="s">
        <v>6</v>
      </c>
      <c r="E5" s="110" t="s">
        <v>95</v>
      </c>
      <c r="F5" s="7"/>
    </row>
    <row r="6" spans="1:6" ht="23.25" customHeight="1" x14ac:dyDescent="0.2">
      <c r="A6" s="111" t="s">
        <v>256</v>
      </c>
      <c r="B6" s="306">
        <v>1196.2472972972973</v>
      </c>
      <c r="C6" s="110" t="s">
        <v>51</v>
      </c>
      <c r="D6" s="110" t="s">
        <v>7</v>
      </c>
      <c r="E6" s="112" t="s">
        <v>261</v>
      </c>
      <c r="F6" s="7"/>
    </row>
    <row r="7" spans="1:6" ht="23.25" customHeight="1" x14ac:dyDescent="0.2">
      <c r="A7" s="111" t="s">
        <v>253</v>
      </c>
      <c r="B7" s="306">
        <v>348.269801980198</v>
      </c>
      <c r="C7" s="110" t="s">
        <v>51</v>
      </c>
      <c r="D7" s="110" t="s">
        <v>7</v>
      </c>
      <c r="E7" s="110"/>
      <c r="F7" s="7"/>
    </row>
    <row r="8" spans="1:6" ht="23.25" customHeight="1" x14ac:dyDescent="0.2">
      <c r="A8" s="111" t="s">
        <v>255</v>
      </c>
      <c r="B8" s="306">
        <v>1435.4018556701033</v>
      </c>
      <c r="C8" s="110" t="s">
        <v>51</v>
      </c>
      <c r="D8" s="110" t="s">
        <v>7</v>
      </c>
      <c r="E8" s="112" t="s">
        <v>262</v>
      </c>
      <c r="F8" s="7"/>
    </row>
    <row r="9" spans="1:6" ht="23.25" customHeight="1" x14ac:dyDescent="0.2">
      <c r="A9" s="111" t="s">
        <v>254</v>
      </c>
      <c r="B9" s="306">
        <v>362.8319658119658</v>
      </c>
      <c r="C9" s="110" t="s">
        <v>51</v>
      </c>
      <c r="D9" s="110" t="s">
        <v>7</v>
      </c>
      <c r="E9" s="110"/>
      <c r="F9" s="7"/>
    </row>
    <row r="10" spans="1:6" ht="23.25" customHeight="1" x14ac:dyDescent="0.2">
      <c r="A10" s="111" t="s">
        <v>142</v>
      </c>
      <c r="B10" s="306">
        <f>'[1]PREÇO NF FINAL'!$C$30</f>
        <v>42709.700000000004</v>
      </c>
      <c r="C10" s="112" t="s">
        <v>51</v>
      </c>
      <c r="D10" s="112" t="s">
        <v>141</v>
      </c>
      <c r="E10" s="110"/>
      <c r="F10" s="7"/>
    </row>
    <row r="11" spans="1:6" ht="23.25" customHeight="1" x14ac:dyDescent="0.2">
      <c r="A11" s="111" t="s">
        <v>143</v>
      </c>
      <c r="B11" s="306">
        <f>'[1]PREÇO NF FINAL'!$C$31</f>
        <v>80210.900000000009</v>
      </c>
      <c r="C11" s="112" t="s">
        <v>51</v>
      </c>
      <c r="D11" s="112" t="s">
        <v>141</v>
      </c>
      <c r="E11" s="110"/>
      <c r="F11" s="7"/>
    </row>
    <row r="12" spans="1:6" ht="23.25" customHeight="1" x14ac:dyDescent="0.2">
      <c r="A12" s="113" t="s">
        <v>257</v>
      </c>
      <c r="B12" s="114">
        <v>2168.4499999999998</v>
      </c>
      <c r="C12" s="115" t="s">
        <v>96</v>
      </c>
      <c r="D12" s="717" t="s">
        <v>292</v>
      </c>
      <c r="E12" s="115" t="s">
        <v>97</v>
      </c>
      <c r="F12" s="7"/>
    </row>
    <row r="13" spans="1:6" ht="23.25" customHeight="1" x14ac:dyDescent="0.2">
      <c r="A13" s="113" t="s">
        <v>258</v>
      </c>
      <c r="B13" s="114">
        <v>1302.76</v>
      </c>
      <c r="C13" s="115" t="s">
        <v>96</v>
      </c>
      <c r="D13" s="717"/>
      <c r="E13" s="115" t="s">
        <v>97</v>
      </c>
      <c r="F13" s="7"/>
    </row>
    <row r="14" spans="1:6" ht="23.25" customHeight="1" x14ac:dyDescent="0.2">
      <c r="A14" s="113" t="s">
        <v>259</v>
      </c>
      <c r="B14" s="114">
        <f>B12</f>
        <v>2168.4499999999998</v>
      </c>
      <c r="C14" s="115" t="s">
        <v>96</v>
      </c>
      <c r="D14" s="717"/>
      <c r="E14" s="115" t="s">
        <v>97</v>
      </c>
      <c r="F14" s="7"/>
    </row>
    <row r="15" spans="1:6" ht="23.25" customHeight="1" x14ac:dyDescent="0.2">
      <c r="A15" s="113" t="s">
        <v>98</v>
      </c>
      <c r="B15" s="114">
        <v>21</v>
      </c>
      <c r="C15" s="115" t="s">
        <v>96</v>
      </c>
      <c r="D15" s="717"/>
      <c r="E15" s="115" t="s">
        <v>99</v>
      </c>
      <c r="F15" s="7"/>
    </row>
    <row r="16" spans="1:6" ht="23.25" customHeight="1" x14ac:dyDescent="0.2">
      <c r="A16" s="113" t="s">
        <v>260</v>
      </c>
      <c r="B16" s="114">
        <v>890</v>
      </c>
      <c r="C16" s="115" t="s">
        <v>195</v>
      </c>
      <c r="D16" s="717"/>
      <c r="E16" s="115" t="s">
        <v>97</v>
      </c>
      <c r="F16" s="7"/>
    </row>
    <row r="17" spans="1:6" ht="23.25" customHeight="1" x14ac:dyDescent="0.2">
      <c r="A17" s="113" t="s">
        <v>100</v>
      </c>
      <c r="B17" s="114">
        <v>14.58</v>
      </c>
      <c r="C17" s="115" t="s">
        <v>195</v>
      </c>
      <c r="D17" s="717" t="s">
        <v>293</v>
      </c>
      <c r="E17" s="115" t="s">
        <v>97</v>
      </c>
      <c r="F17" s="7"/>
    </row>
    <row r="18" spans="1:6" ht="23.25" customHeight="1" x14ac:dyDescent="0.2">
      <c r="A18" s="113" t="s">
        <v>10</v>
      </c>
      <c r="B18" s="114">
        <v>396.49</v>
      </c>
      <c r="C18" s="115" t="s">
        <v>195</v>
      </c>
      <c r="D18" s="717"/>
      <c r="E18" s="115" t="s">
        <v>97</v>
      </c>
      <c r="F18" s="7"/>
    </row>
    <row r="19" spans="1:6" ht="23.25" customHeight="1" x14ac:dyDescent="0.2">
      <c r="F19" s="7"/>
    </row>
    <row r="21" spans="1:6" ht="12.75" customHeight="1" x14ac:dyDescent="0.2">
      <c r="A21" s="22"/>
      <c r="B21" s="23"/>
      <c r="C21" s="24"/>
      <c r="D21" s="22"/>
    </row>
    <row r="22" spans="1:6" ht="12.75" customHeight="1" x14ac:dyDescent="0.2">
      <c r="A22" s="22"/>
      <c r="B22" s="25"/>
      <c r="C22" s="24"/>
      <c r="D22" s="22"/>
      <c r="E22" s="26"/>
    </row>
    <row r="23" spans="1:6" ht="12.75" customHeight="1" x14ac:dyDescent="0.2">
      <c r="A23" s="22"/>
      <c r="B23" s="27"/>
      <c r="C23" s="28"/>
      <c r="D23" s="22"/>
    </row>
  </sheetData>
  <sheetProtection password="DB60" sheet="1" objects="1" scenarios="1"/>
  <mergeCells count="2">
    <mergeCell ref="D12:D16"/>
    <mergeCell ref="D17:D18"/>
  </mergeCells>
  <printOptions horizontalCentered="1"/>
  <pageMargins left="0.31" right="0.51" top="0.98425196850393704" bottom="0.98425196850393704" header="0.51181102362204722" footer="0.51181102362204722"/>
  <pageSetup orientation="portrait" useFirstPageNumber="1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topLeftCell="A58" zoomScaleNormal="100" workbookViewId="0">
      <selection activeCell="C70" sqref="C70"/>
    </sheetView>
  </sheetViews>
  <sheetFormatPr defaultColWidth="8.85546875" defaultRowHeight="12.75" customHeight="1" x14ac:dyDescent="0.2"/>
  <cols>
    <col min="1" max="1" width="50.28515625" style="7" customWidth="1"/>
    <col min="2" max="2" width="18.42578125" style="10" bestFit="1" customWidth="1"/>
    <col min="3" max="3" width="13.7109375" style="10" bestFit="1" customWidth="1"/>
    <col min="4" max="4" width="14.28515625" style="10" bestFit="1" customWidth="1"/>
    <col min="5" max="5" width="10.7109375" style="10" customWidth="1"/>
    <col min="6" max="6" width="20.42578125" style="10" customWidth="1"/>
    <col min="7" max="7" width="1.5703125" style="7" bestFit="1" customWidth="1"/>
    <col min="8" max="8" width="12.140625" style="7" bestFit="1" customWidth="1"/>
    <col min="9" max="16384" width="8.85546875" style="7"/>
  </cols>
  <sheetData>
    <row r="1" spans="1:11" ht="15.75" customHeight="1" x14ac:dyDescent="0.25">
      <c r="A1" s="292" t="s">
        <v>214</v>
      </c>
      <c r="B1" s="293"/>
      <c r="C1" s="293"/>
      <c r="D1" s="293"/>
      <c r="E1" s="293"/>
      <c r="F1" s="293"/>
    </row>
    <row r="2" spans="1:11" ht="12.75" customHeight="1" x14ac:dyDescent="0.2">
      <c r="A2" s="295"/>
      <c r="B2" s="296"/>
      <c r="C2" s="296"/>
      <c r="D2" s="296"/>
      <c r="E2" s="296"/>
      <c r="F2" s="296"/>
    </row>
    <row r="3" spans="1:11" ht="12.75" customHeight="1" x14ac:dyDescent="0.2">
      <c r="A3" s="199" t="s">
        <v>15</v>
      </c>
      <c r="B3" s="200" t="s">
        <v>16</v>
      </c>
      <c r="C3" s="200" t="s">
        <v>314</v>
      </c>
      <c r="D3" s="200" t="s">
        <v>315</v>
      </c>
      <c r="E3" s="200" t="s">
        <v>17</v>
      </c>
      <c r="F3" s="200" t="s">
        <v>18</v>
      </c>
    </row>
    <row r="4" spans="1:11" ht="12.75" customHeight="1" x14ac:dyDescent="0.2">
      <c r="A4" s="201" t="s">
        <v>69</v>
      </c>
      <c r="B4" s="297">
        <v>0.31669999999999998</v>
      </c>
      <c r="C4" s="210">
        <v>0.26919499999999996</v>
      </c>
      <c r="D4" s="210">
        <v>0.36420499999999995</v>
      </c>
      <c r="E4" s="211" t="s">
        <v>19</v>
      </c>
      <c r="F4" s="211" t="s">
        <v>6</v>
      </c>
      <c r="H4" s="8"/>
      <c r="I4" s="8"/>
      <c r="J4" s="8"/>
      <c r="K4" s="9"/>
    </row>
    <row r="5" spans="1:11" ht="12.75" customHeight="1" x14ac:dyDescent="0.2">
      <c r="A5" s="202" t="s">
        <v>20</v>
      </c>
      <c r="B5" s="297">
        <v>0</v>
      </c>
      <c r="C5" s="210">
        <v>0</v>
      </c>
      <c r="D5" s="210">
        <v>0</v>
      </c>
      <c r="E5" s="211" t="s">
        <v>19</v>
      </c>
      <c r="F5" s="211" t="s">
        <v>6</v>
      </c>
      <c r="H5" s="8"/>
      <c r="I5" s="8"/>
      <c r="J5" s="8"/>
      <c r="K5" s="9"/>
    </row>
    <row r="6" spans="1:11" ht="12.75" customHeight="1" x14ac:dyDescent="0.2">
      <c r="A6" s="201" t="s">
        <v>22</v>
      </c>
      <c r="B6" s="297">
        <v>0</v>
      </c>
      <c r="C6" s="210">
        <v>0</v>
      </c>
      <c r="D6" s="210">
        <v>0</v>
      </c>
      <c r="E6" s="211" t="s">
        <v>19</v>
      </c>
      <c r="F6" s="211" t="s">
        <v>6</v>
      </c>
      <c r="H6" s="8"/>
      <c r="I6" s="8"/>
      <c r="J6" s="8"/>
      <c r="K6" s="9"/>
    </row>
    <row r="7" spans="1:11" ht="12.75" customHeight="1" x14ac:dyDescent="0.2">
      <c r="A7" s="201" t="s">
        <v>21</v>
      </c>
      <c r="B7" s="297">
        <v>0</v>
      </c>
      <c r="C7" s="210">
        <v>0</v>
      </c>
      <c r="D7" s="210">
        <v>0</v>
      </c>
      <c r="E7" s="211" t="s">
        <v>19</v>
      </c>
      <c r="F7" s="211" t="s">
        <v>6</v>
      </c>
      <c r="H7" s="8"/>
      <c r="I7" s="8"/>
      <c r="J7" s="8"/>
      <c r="K7" s="9"/>
    </row>
    <row r="8" spans="1:11" ht="12.75" customHeight="1" x14ac:dyDescent="0.2">
      <c r="A8" s="201" t="s">
        <v>70</v>
      </c>
      <c r="B8" s="297">
        <v>0</v>
      </c>
      <c r="C8" s="210">
        <v>0</v>
      </c>
      <c r="D8" s="210">
        <v>0</v>
      </c>
      <c r="E8" s="211" t="s">
        <v>19</v>
      </c>
      <c r="F8" s="211" t="s">
        <v>6</v>
      </c>
      <c r="H8" s="8"/>
      <c r="I8" s="8"/>
      <c r="J8" s="8"/>
      <c r="K8" s="9"/>
    </row>
    <row r="9" spans="1:11" ht="12.75" customHeight="1" x14ac:dyDescent="0.2">
      <c r="A9" s="202" t="s">
        <v>23</v>
      </c>
      <c r="B9" s="297">
        <v>0.38969999999999999</v>
      </c>
      <c r="C9" s="210">
        <v>0.33124499999999996</v>
      </c>
      <c r="D9" s="210">
        <v>0.44815499999999997</v>
      </c>
      <c r="E9" s="211" t="s">
        <v>19</v>
      </c>
      <c r="F9" s="211" t="s">
        <v>6</v>
      </c>
      <c r="H9" s="8"/>
      <c r="I9" s="8"/>
      <c r="J9" s="8"/>
      <c r="K9" s="9"/>
    </row>
    <row r="10" spans="1:11" ht="12.75" customHeight="1" x14ac:dyDescent="0.2">
      <c r="A10" s="202" t="s">
        <v>24</v>
      </c>
      <c r="B10" s="297">
        <v>0.55259999999999998</v>
      </c>
      <c r="C10" s="210">
        <v>0.46970999999999996</v>
      </c>
      <c r="D10" s="210">
        <v>0.63548999999999989</v>
      </c>
      <c r="E10" s="211" t="s">
        <v>19</v>
      </c>
      <c r="F10" s="211" t="s">
        <v>6</v>
      </c>
      <c r="H10" s="8"/>
      <c r="I10" s="8"/>
      <c r="J10" s="8"/>
      <c r="K10" s="9"/>
    </row>
    <row r="11" spans="1:11" ht="12.75" customHeight="1" x14ac:dyDescent="0.2">
      <c r="A11" s="202" t="s">
        <v>25</v>
      </c>
      <c r="B11" s="297">
        <v>0</v>
      </c>
      <c r="C11" s="210">
        <v>0</v>
      </c>
      <c r="D11" s="210">
        <v>0</v>
      </c>
      <c r="E11" s="211" t="s">
        <v>19</v>
      </c>
      <c r="F11" s="211" t="s">
        <v>6</v>
      </c>
      <c r="H11" s="8"/>
      <c r="I11" s="8"/>
      <c r="J11" s="8"/>
      <c r="K11" s="9"/>
    </row>
    <row r="12" spans="1:11" ht="12.75" customHeight="1" x14ac:dyDescent="0.2">
      <c r="A12" s="202" t="s">
        <v>26</v>
      </c>
      <c r="B12" s="297">
        <v>0</v>
      </c>
      <c r="C12" s="210">
        <v>0</v>
      </c>
      <c r="D12" s="210">
        <v>0</v>
      </c>
      <c r="E12" s="211" t="s">
        <v>19</v>
      </c>
      <c r="F12" s="211" t="s">
        <v>6</v>
      </c>
      <c r="H12" s="8"/>
      <c r="I12" s="8"/>
      <c r="J12" s="8"/>
      <c r="K12" s="9"/>
    </row>
    <row r="13" spans="1:11" ht="12.75" customHeight="1" x14ac:dyDescent="0.2">
      <c r="A13" s="202" t="s">
        <v>27</v>
      </c>
      <c r="B13" s="297">
        <v>0.40250000000000002</v>
      </c>
      <c r="C13" s="210">
        <v>0.34212500000000001</v>
      </c>
      <c r="D13" s="210">
        <v>0.46287499999999998</v>
      </c>
      <c r="E13" s="211" t="s">
        <v>19</v>
      </c>
      <c r="F13" s="211" t="s">
        <v>6</v>
      </c>
      <c r="H13" s="8"/>
      <c r="I13" s="8"/>
      <c r="J13" s="8"/>
      <c r="K13" s="9"/>
    </row>
    <row r="14" spans="1:11" ht="12.75" customHeight="1" x14ac:dyDescent="0.2">
      <c r="A14" s="201" t="s">
        <v>30</v>
      </c>
      <c r="B14" s="297">
        <v>0</v>
      </c>
      <c r="C14" s="210">
        <v>0</v>
      </c>
      <c r="D14" s="210">
        <v>0</v>
      </c>
      <c r="E14" s="211" t="s">
        <v>19</v>
      </c>
      <c r="F14" s="211" t="s">
        <v>6</v>
      </c>
      <c r="H14" s="8"/>
      <c r="I14" s="8"/>
      <c r="J14" s="8"/>
      <c r="K14" s="9"/>
    </row>
    <row r="15" spans="1:11" ht="12.75" customHeight="1" x14ac:dyDescent="0.2">
      <c r="A15" s="201" t="s">
        <v>28</v>
      </c>
      <c r="B15" s="297">
        <v>0.46689999999999998</v>
      </c>
      <c r="C15" s="210">
        <v>0.39686499999999997</v>
      </c>
      <c r="D15" s="210">
        <v>0.53693499999999994</v>
      </c>
      <c r="E15" s="211" t="s">
        <v>19</v>
      </c>
      <c r="F15" s="211" t="s">
        <v>6</v>
      </c>
      <c r="H15" s="8"/>
      <c r="I15" s="8"/>
      <c r="J15" s="8"/>
      <c r="K15" s="9"/>
    </row>
    <row r="16" spans="1:11" ht="12.75" customHeight="1" x14ac:dyDescent="0.2">
      <c r="A16" s="201" t="s">
        <v>29</v>
      </c>
      <c r="B16" s="297">
        <v>0</v>
      </c>
      <c r="C16" s="210">
        <v>0</v>
      </c>
      <c r="D16" s="210">
        <v>0</v>
      </c>
      <c r="E16" s="211" t="s">
        <v>19</v>
      </c>
      <c r="F16" s="211" t="s">
        <v>6</v>
      </c>
      <c r="H16" s="8"/>
      <c r="I16" s="8"/>
      <c r="J16" s="8"/>
      <c r="K16" s="9"/>
    </row>
    <row r="17" spans="1:11" ht="12.75" customHeight="1" x14ac:dyDescent="0.2">
      <c r="A17" s="202" t="s">
        <v>31</v>
      </c>
      <c r="B17" s="297">
        <v>0.44840000000000002</v>
      </c>
      <c r="C17" s="210">
        <v>0.38114000000000003</v>
      </c>
      <c r="D17" s="210">
        <v>0.51566000000000001</v>
      </c>
      <c r="E17" s="211" t="s">
        <v>19</v>
      </c>
      <c r="F17" s="211" t="s">
        <v>6</v>
      </c>
      <c r="H17" s="8"/>
      <c r="I17" s="8"/>
      <c r="J17" s="8"/>
      <c r="K17" s="9"/>
    </row>
    <row r="18" spans="1:11" ht="12.75" customHeight="1" x14ac:dyDescent="0.2">
      <c r="A18" s="202" t="s">
        <v>34</v>
      </c>
      <c r="B18" s="297">
        <v>0.60640000000000005</v>
      </c>
      <c r="C18" s="210">
        <v>0.51544000000000001</v>
      </c>
      <c r="D18" s="210">
        <v>0.69735999999999998</v>
      </c>
      <c r="E18" s="211" t="s">
        <v>19</v>
      </c>
      <c r="F18" s="211" t="s">
        <v>6</v>
      </c>
      <c r="H18" s="8"/>
      <c r="I18" s="8"/>
      <c r="J18" s="8"/>
      <c r="K18" s="9"/>
    </row>
    <row r="19" spans="1:11" ht="12.75" customHeight="1" x14ac:dyDescent="0.2">
      <c r="A19" s="202" t="s">
        <v>32</v>
      </c>
      <c r="B19" s="297">
        <v>0.52329999999999999</v>
      </c>
      <c r="C19" s="210">
        <v>0.44480499999999995</v>
      </c>
      <c r="D19" s="210">
        <v>0.60179499999999997</v>
      </c>
      <c r="E19" s="211" t="s">
        <v>19</v>
      </c>
      <c r="F19" s="211" t="s">
        <v>6</v>
      </c>
      <c r="H19" s="8"/>
      <c r="I19" s="8"/>
      <c r="J19" s="8"/>
      <c r="K19" s="9"/>
    </row>
    <row r="20" spans="1:11" ht="12.75" customHeight="1" x14ac:dyDescent="0.2">
      <c r="A20" s="202" t="s">
        <v>33</v>
      </c>
      <c r="B20" s="297">
        <v>0.54310000000000003</v>
      </c>
      <c r="C20" s="210">
        <v>0.46163500000000002</v>
      </c>
      <c r="D20" s="210">
        <v>0.62456500000000004</v>
      </c>
      <c r="E20" s="211" t="s">
        <v>19</v>
      </c>
      <c r="F20" s="211" t="s">
        <v>6</v>
      </c>
      <c r="H20" s="8"/>
      <c r="I20" s="8"/>
      <c r="J20" s="8"/>
      <c r="K20" s="9"/>
    </row>
    <row r="21" spans="1:11" ht="12.75" customHeight="1" x14ac:dyDescent="0.2">
      <c r="A21" s="202" t="s">
        <v>35</v>
      </c>
      <c r="B21" s="297">
        <v>0</v>
      </c>
      <c r="C21" s="210">
        <v>0</v>
      </c>
      <c r="D21" s="210">
        <v>0</v>
      </c>
      <c r="E21" s="211" t="s">
        <v>19</v>
      </c>
      <c r="F21" s="211" t="s">
        <v>6</v>
      </c>
    </row>
    <row r="22" spans="1:11" ht="12.75" customHeight="1" x14ac:dyDescent="0.2">
      <c r="A22" s="202" t="s">
        <v>36</v>
      </c>
      <c r="B22" s="297">
        <v>0</v>
      </c>
      <c r="C22" s="210">
        <v>0</v>
      </c>
      <c r="D22" s="210">
        <v>0</v>
      </c>
      <c r="E22" s="211" t="s">
        <v>19</v>
      </c>
      <c r="F22" s="211" t="s">
        <v>6</v>
      </c>
    </row>
    <row r="23" spans="1:11" ht="12.75" customHeight="1" x14ac:dyDescent="0.2">
      <c r="A23" s="202" t="s">
        <v>37</v>
      </c>
      <c r="B23" s="297">
        <v>0</v>
      </c>
      <c r="C23" s="210">
        <v>0</v>
      </c>
      <c r="D23" s="210">
        <v>0</v>
      </c>
      <c r="E23" s="211" t="s">
        <v>19</v>
      </c>
      <c r="F23" s="211" t="s">
        <v>6</v>
      </c>
    </row>
    <row r="24" spans="1:11" ht="12.75" customHeight="1" x14ac:dyDescent="0.2">
      <c r="A24" s="202" t="s">
        <v>38</v>
      </c>
      <c r="B24" s="297">
        <v>0</v>
      </c>
      <c r="C24" s="210">
        <v>0</v>
      </c>
      <c r="D24" s="210">
        <v>0</v>
      </c>
      <c r="E24" s="211" t="s">
        <v>19</v>
      </c>
      <c r="F24" s="211" t="s">
        <v>6</v>
      </c>
    </row>
    <row r="25" spans="1:11" ht="12.75" customHeight="1" x14ac:dyDescent="0.2">
      <c r="A25" s="202" t="s">
        <v>39</v>
      </c>
      <c r="B25" s="297">
        <v>0.44979999999999998</v>
      </c>
      <c r="C25" s="210">
        <v>0.38232999999999995</v>
      </c>
      <c r="D25" s="210">
        <v>0.5172699999999999</v>
      </c>
      <c r="E25" s="211" t="s">
        <v>19</v>
      </c>
      <c r="F25" s="211" t="s">
        <v>6</v>
      </c>
    </row>
    <row r="26" spans="1:11" ht="12.75" customHeight="1" x14ac:dyDescent="0.2">
      <c r="A26" s="202" t="s">
        <v>40</v>
      </c>
      <c r="B26" s="297">
        <v>0.5343</v>
      </c>
      <c r="C26" s="210">
        <v>0.45415499999999998</v>
      </c>
      <c r="D26" s="210">
        <v>0.61444499999999991</v>
      </c>
      <c r="E26" s="211" t="s">
        <v>19</v>
      </c>
      <c r="F26" s="211" t="s">
        <v>6</v>
      </c>
    </row>
    <row r="27" spans="1:11" ht="12.75" customHeight="1" x14ac:dyDescent="0.2">
      <c r="A27" s="201" t="s">
        <v>121</v>
      </c>
      <c r="B27" s="297">
        <v>0</v>
      </c>
      <c r="C27" s="210">
        <v>0</v>
      </c>
      <c r="D27" s="210">
        <v>0</v>
      </c>
      <c r="E27" s="211" t="s">
        <v>19</v>
      </c>
      <c r="F27" s="211" t="s">
        <v>6</v>
      </c>
    </row>
    <row r="28" spans="1:11" ht="12.75" customHeight="1" x14ac:dyDescent="0.2">
      <c r="A28" s="201" t="s">
        <v>122</v>
      </c>
      <c r="B28" s="297">
        <v>0</v>
      </c>
      <c r="C28" s="210">
        <v>0</v>
      </c>
      <c r="D28" s="210">
        <v>0</v>
      </c>
      <c r="E28" s="211" t="s">
        <v>19</v>
      </c>
      <c r="F28" s="211" t="s">
        <v>6</v>
      </c>
    </row>
    <row r="29" spans="1:11" ht="12.75" customHeight="1" x14ac:dyDescent="0.2">
      <c r="A29" s="201" t="s">
        <v>123</v>
      </c>
      <c r="B29" s="297">
        <v>0</v>
      </c>
      <c r="C29" s="210">
        <v>0</v>
      </c>
      <c r="D29" s="210">
        <v>0</v>
      </c>
      <c r="E29" s="211" t="s">
        <v>19</v>
      </c>
      <c r="F29" s="211" t="s">
        <v>6</v>
      </c>
    </row>
    <row r="30" spans="1:11" ht="12.75" customHeight="1" x14ac:dyDescent="0.2">
      <c r="A30" s="202" t="s">
        <v>41</v>
      </c>
      <c r="B30" s="297">
        <v>0</v>
      </c>
      <c r="C30" s="210">
        <v>0</v>
      </c>
      <c r="D30" s="210">
        <v>0</v>
      </c>
      <c r="E30" s="211" t="s">
        <v>19</v>
      </c>
      <c r="F30" s="211" t="s">
        <v>6</v>
      </c>
    </row>
    <row r="31" spans="1:11" ht="12.75" customHeight="1" x14ac:dyDescent="0.2">
      <c r="A31" s="202" t="s">
        <v>43</v>
      </c>
      <c r="B31" s="297">
        <v>0.79849999999999999</v>
      </c>
      <c r="C31" s="210">
        <v>0.67872500000000002</v>
      </c>
      <c r="D31" s="210">
        <v>0.91827499999999995</v>
      </c>
      <c r="E31" s="211" t="s">
        <v>19</v>
      </c>
      <c r="F31" s="211" t="s">
        <v>6</v>
      </c>
    </row>
    <row r="32" spans="1:11" ht="12.75" customHeight="1" x14ac:dyDescent="0.2">
      <c r="A32" s="202" t="s">
        <v>44</v>
      </c>
      <c r="B32" s="297">
        <v>0</v>
      </c>
      <c r="C32" s="210">
        <v>0</v>
      </c>
      <c r="D32" s="210">
        <v>0</v>
      </c>
      <c r="E32" s="211" t="s">
        <v>19</v>
      </c>
      <c r="F32" s="211" t="s">
        <v>6</v>
      </c>
    </row>
    <row r="33" spans="1:6" ht="12.75" customHeight="1" x14ac:dyDescent="0.2">
      <c r="A33" s="202" t="s">
        <v>42</v>
      </c>
      <c r="B33" s="297">
        <v>0.77349999999999997</v>
      </c>
      <c r="C33" s="210">
        <v>0.65747499999999992</v>
      </c>
      <c r="D33" s="210">
        <v>0.8895249999999999</v>
      </c>
      <c r="E33" s="211" t="s">
        <v>19</v>
      </c>
      <c r="F33" s="211" t="s">
        <v>6</v>
      </c>
    </row>
    <row r="34" spans="1:6" ht="12.75" customHeight="1" x14ac:dyDescent="0.2">
      <c r="A34" s="201" t="s">
        <v>71</v>
      </c>
      <c r="B34" s="297">
        <v>0</v>
      </c>
      <c r="C34" s="210">
        <v>0</v>
      </c>
      <c r="D34" s="210">
        <v>0</v>
      </c>
      <c r="E34" s="211" t="s">
        <v>19</v>
      </c>
      <c r="F34" s="211" t="s">
        <v>6</v>
      </c>
    </row>
    <row r="35" spans="1:6" ht="12.75" customHeight="1" x14ac:dyDescent="0.2">
      <c r="A35" s="202" t="s">
        <v>46</v>
      </c>
      <c r="B35" s="297">
        <v>0.753</v>
      </c>
      <c r="C35" s="210">
        <v>0.64005000000000001</v>
      </c>
      <c r="D35" s="210">
        <v>0.86594999999999989</v>
      </c>
      <c r="E35" s="211" t="s">
        <v>19</v>
      </c>
      <c r="F35" s="211" t="s">
        <v>6</v>
      </c>
    </row>
    <row r="36" spans="1:6" ht="12.75" customHeight="1" x14ac:dyDescent="0.2">
      <c r="A36" s="202" t="s">
        <v>47</v>
      </c>
      <c r="B36" s="297">
        <v>0</v>
      </c>
      <c r="C36" s="210">
        <v>0</v>
      </c>
      <c r="D36" s="210">
        <v>0</v>
      </c>
      <c r="E36" s="211" t="s">
        <v>19</v>
      </c>
      <c r="F36" s="211" t="s">
        <v>6</v>
      </c>
    </row>
    <row r="37" spans="1:6" ht="12.75" customHeight="1" x14ac:dyDescent="0.2">
      <c r="A37" s="202" t="s">
        <v>45</v>
      </c>
      <c r="B37" s="297">
        <v>0.68600000000000005</v>
      </c>
      <c r="C37" s="210">
        <v>0.58310000000000006</v>
      </c>
      <c r="D37" s="210">
        <v>0.78890000000000005</v>
      </c>
      <c r="E37" s="211" t="s">
        <v>19</v>
      </c>
      <c r="F37" s="211" t="s">
        <v>6</v>
      </c>
    </row>
    <row r="38" spans="1:6" ht="12.75" customHeight="1" x14ac:dyDescent="0.2">
      <c r="A38" s="201" t="s">
        <v>251</v>
      </c>
      <c r="B38" s="297">
        <v>2.2200000000000001E-2</v>
      </c>
      <c r="C38" s="210">
        <v>1.8870000000000001E-2</v>
      </c>
      <c r="D38" s="210">
        <v>2.5530000000000001E-2</v>
      </c>
      <c r="E38" s="211"/>
      <c r="F38" s="212" t="s">
        <v>215</v>
      </c>
    </row>
    <row r="39" spans="1:6" ht="12.75" customHeight="1" x14ac:dyDescent="0.2">
      <c r="A39" s="202" t="s">
        <v>48</v>
      </c>
      <c r="B39" s="298">
        <v>54869</v>
      </c>
      <c r="C39" s="213">
        <v>54869</v>
      </c>
      <c r="D39" s="213">
        <v>65842.8</v>
      </c>
      <c r="E39" s="211" t="s">
        <v>49</v>
      </c>
      <c r="F39" s="211" t="s">
        <v>7</v>
      </c>
    </row>
    <row r="40" spans="1:6" ht="12.75" customHeight="1" x14ac:dyDescent="0.2">
      <c r="A40" s="202" t="s">
        <v>50</v>
      </c>
      <c r="B40" s="298">
        <v>113194</v>
      </c>
      <c r="C40" s="213">
        <v>113194</v>
      </c>
      <c r="D40" s="213">
        <v>135832.79999999999</v>
      </c>
      <c r="E40" s="211" t="s">
        <v>49</v>
      </c>
      <c r="F40" s="211" t="s">
        <v>7</v>
      </c>
    </row>
    <row r="41" spans="1:6" ht="12.75" customHeight="1" x14ac:dyDescent="0.2">
      <c r="A41" s="203" t="s">
        <v>287</v>
      </c>
      <c r="B41" s="214">
        <v>6</v>
      </c>
      <c r="C41" s="214">
        <v>6</v>
      </c>
      <c r="D41" s="214">
        <v>6</v>
      </c>
      <c r="E41" s="215" t="s">
        <v>51</v>
      </c>
      <c r="F41" s="215" t="s">
        <v>7</v>
      </c>
    </row>
    <row r="42" spans="1:6" ht="12.75" customHeight="1" x14ac:dyDescent="0.2">
      <c r="A42" s="203" t="s">
        <v>246</v>
      </c>
      <c r="B42" s="214">
        <v>6</v>
      </c>
      <c r="C42" s="214">
        <v>6</v>
      </c>
      <c r="D42" s="214">
        <v>6</v>
      </c>
      <c r="E42" s="215" t="s">
        <v>51</v>
      </c>
      <c r="F42" s="215" t="s">
        <v>7</v>
      </c>
    </row>
    <row r="43" spans="1:6" ht="12.75" customHeight="1" x14ac:dyDescent="0.2">
      <c r="A43" s="203" t="s">
        <v>247</v>
      </c>
      <c r="B43" s="214">
        <v>8</v>
      </c>
      <c r="C43" s="214">
        <v>8</v>
      </c>
      <c r="D43" s="214">
        <v>8</v>
      </c>
      <c r="E43" s="215" t="s">
        <v>51</v>
      </c>
      <c r="F43" s="215" t="s">
        <v>7</v>
      </c>
    </row>
    <row r="44" spans="1:6" ht="12.75" customHeight="1" x14ac:dyDescent="0.2">
      <c r="A44" s="203" t="s">
        <v>248</v>
      </c>
      <c r="B44" s="214">
        <v>10</v>
      </c>
      <c r="C44" s="214">
        <v>10</v>
      </c>
      <c r="D44" s="214">
        <v>10</v>
      </c>
      <c r="E44" s="215" t="s">
        <v>51</v>
      </c>
      <c r="F44" s="215" t="s">
        <v>7</v>
      </c>
    </row>
    <row r="45" spans="1:6" ht="12.75" customHeight="1" x14ac:dyDescent="0.2">
      <c r="A45" s="203" t="s">
        <v>249</v>
      </c>
      <c r="B45" s="214">
        <v>2</v>
      </c>
      <c r="C45" s="214">
        <v>2</v>
      </c>
      <c r="D45" s="214">
        <v>2</v>
      </c>
      <c r="E45" s="215" t="s">
        <v>52</v>
      </c>
      <c r="F45" s="215" t="s">
        <v>7</v>
      </c>
    </row>
    <row r="46" spans="1:6" ht="12.75" customHeight="1" x14ac:dyDescent="0.2">
      <c r="A46" s="203" t="s">
        <v>250</v>
      </c>
      <c r="B46" s="227">
        <v>10</v>
      </c>
      <c r="C46" s="214">
        <v>10</v>
      </c>
      <c r="D46" s="214">
        <v>10</v>
      </c>
      <c r="E46" s="215" t="s">
        <v>53</v>
      </c>
      <c r="F46" s="718" t="s">
        <v>376</v>
      </c>
    </row>
    <row r="47" spans="1:6" ht="12.75" customHeight="1" x14ac:dyDescent="0.2">
      <c r="A47" s="203" t="s">
        <v>54</v>
      </c>
      <c r="B47" s="228">
        <v>15</v>
      </c>
      <c r="C47" s="214">
        <v>15</v>
      </c>
      <c r="D47" s="214">
        <v>15</v>
      </c>
      <c r="E47" s="215" t="s">
        <v>9</v>
      </c>
      <c r="F47" s="719"/>
    </row>
    <row r="48" spans="1:6" ht="26.25" customHeight="1" x14ac:dyDescent="0.2">
      <c r="A48" s="204" t="s">
        <v>245</v>
      </c>
      <c r="B48" s="217">
        <v>3.6999999999999999E-4</v>
      </c>
      <c r="C48" s="216"/>
      <c r="D48" s="216"/>
      <c r="E48" s="217"/>
      <c r="F48" s="719"/>
    </row>
    <row r="49" spans="1:6" x14ac:dyDescent="0.2">
      <c r="A49" s="204" t="s">
        <v>244</v>
      </c>
      <c r="B49" s="218">
        <v>5.0000000000000002E-5</v>
      </c>
      <c r="C49" s="216"/>
      <c r="D49" s="216"/>
      <c r="E49" s="218"/>
      <c r="F49" s="719"/>
    </row>
    <row r="50" spans="1:6" ht="25.5" x14ac:dyDescent="0.2">
      <c r="A50" s="204" t="s">
        <v>288</v>
      </c>
      <c r="B50" s="217">
        <v>1.56E-3</v>
      </c>
      <c r="C50" s="216"/>
      <c r="D50" s="216"/>
      <c r="E50" s="217"/>
      <c r="F50" s="719"/>
    </row>
    <row r="51" spans="1:6" x14ac:dyDescent="0.2">
      <c r="A51" s="203" t="s">
        <v>243</v>
      </c>
      <c r="B51" s="218">
        <v>4.0000000000000003E-5</v>
      </c>
      <c r="C51" s="216"/>
      <c r="D51" s="216"/>
      <c r="E51" s="218"/>
      <c r="F51" s="719"/>
    </row>
    <row r="52" spans="1:6" s="68" customFormat="1" x14ac:dyDescent="0.2">
      <c r="A52" s="204" t="s">
        <v>242</v>
      </c>
      <c r="B52" s="217">
        <v>3.0000000000000001E-5</v>
      </c>
      <c r="C52" s="216"/>
      <c r="D52" s="216"/>
      <c r="E52" s="217"/>
      <c r="F52" s="720"/>
    </row>
    <row r="53" spans="1:6" s="68" customFormat="1" x14ac:dyDescent="0.2">
      <c r="A53" s="205" t="s">
        <v>320</v>
      </c>
      <c r="B53" s="222">
        <v>6.23</v>
      </c>
      <c r="C53" s="216"/>
      <c r="D53" s="216"/>
      <c r="E53" s="219" t="s">
        <v>9</v>
      </c>
      <c r="F53" s="231" t="s">
        <v>378</v>
      </c>
    </row>
    <row r="54" spans="1:6" ht="12.75" customHeight="1" x14ac:dyDescent="0.2">
      <c r="A54" s="201" t="s">
        <v>241</v>
      </c>
      <c r="B54" s="299">
        <v>4.7000000000000002E-3</v>
      </c>
      <c r="C54" s="220">
        <v>3.9950000000000003E-3</v>
      </c>
      <c r="D54" s="220">
        <v>5.4050000000000001E-3</v>
      </c>
      <c r="E54" s="221"/>
      <c r="F54" s="211" t="s">
        <v>55</v>
      </c>
    </row>
    <row r="55" spans="1:6" x14ac:dyDescent="0.2">
      <c r="A55" s="113" t="s">
        <v>56</v>
      </c>
      <c r="B55" s="222">
        <v>42.1</v>
      </c>
      <c r="C55" s="222">
        <v>42.1</v>
      </c>
      <c r="D55" s="222">
        <v>42.1</v>
      </c>
      <c r="E55" s="219" t="s">
        <v>9</v>
      </c>
      <c r="F55" s="724" t="s">
        <v>196</v>
      </c>
    </row>
    <row r="56" spans="1:6" x14ac:dyDescent="0.2">
      <c r="A56" s="113" t="s">
        <v>211</v>
      </c>
      <c r="B56" s="222">
        <v>4.29</v>
      </c>
      <c r="C56" s="222">
        <v>4.29</v>
      </c>
      <c r="D56" s="222">
        <v>4.29</v>
      </c>
      <c r="E56" s="219" t="s">
        <v>9</v>
      </c>
      <c r="F56" s="724"/>
    </row>
    <row r="57" spans="1:6" ht="12.75" customHeight="1" x14ac:dyDescent="0.2">
      <c r="A57" s="113" t="s">
        <v>212</v>
      </c>
      <c r="B57" s="216">
        <v>25</v>
      </c>
      <c r="C57" s="222">
        <v>25</v>
      </c>
      <c r="D57" s="222">
        <v>25</v>
      </c>
      <c r="E57" s="224" t="s">
        <v>52</v>
      </c>
      <c r="F57" s="724"/>
    </row>
    <row r="58" spans="1:6" ht="12.75" customHeight="1" x14ac:dyDescent="0.2">
      <c r="A58" s="113" t="s">
        <v>72</v>
      </c>
      <c r="B58" s="222">
        <v>80</v>
      </c>
      <c r="C58" s="222">
        <v>80</v>
      </c>
      <c r="D58" s="222">
        <v>80</v>
      </c>
      <c r="E58" s="224" t="s">
        <v>9</v>
      </c>
      <c r="F58" s="724"/>
    </row>
    <row r="59" spans="1:6" ht="12.75" customHeight="1" x14ac:dyDescent="0.2">
      <c r="A59" s="113" t="s">
        <v>73</v>
      </c>
      <c r="B59" s="222">
        <v>25</v>
      </c>
      <c r="C59" s="222">
        <v>25</v>
      </c>
      <c r="D59" s="222">
        <v>25</v>
      </c>
      <c r="E59" s="224" t="s">
        <v>9</v>
      </c>
      <c r="F59" s="724"/>
    </row>
    <row r="60" spans="1:6" x14ac:dyDescent="0.2">
      <c r="A60" s="206" t="s">
        <v>74</v>
      </c>
      <c r="B60" s="299">
        <v>4.0000000000000001E-3</v>
      </c>
      <c r="C60" s="225">
        <v>3.3999999999999998E-3</v>
      </c>
      <c r="D60" s="225">
        <v>4.5999999999999999E-3</v>
      </c>
      <c r="E60" s="219"/>
      <c r="F60" s="724" t="s">
        <v>295</v>
      </c>
    </row>
    <row r="61" spans="1:6" ht="12.75" customHeight="1" x14ac:dyDescent="0.2">
      <c r="A61" s="113" t="s">
        <v>213</v>
      </c>
      <c r="B61" s="222">
        <f>100*(1/12)</f>
        <v>8.3333333333333321</v>
      </c>
      <c r="C61" s="222">
        <v>8.33</v>
      </c>
      <c r="D61" s="222">
        <v>8.3333333333333321</v>
      </c>
      <c r="E61" s="219" t="s">
        <v>9</v>
      </c>
      <c r="F61" s="724"/>
    </row>
    <row r="62" spans="1:6" ht="12.75" customHeight="1" x14ac:dyDescent="0.2">
      <c r="A62" s="113" t="s">
        <v>252</v>
      </c>
      <c r="B62" s="216">
        <v>5</v>
      </c>
      <c r="C62" s="216">
        <v>5</v>
      </c>
      <c r="D62" s="216">
        <v>10</v>
      </c>
      <c r="E62" s="224" t="s">
        <v>52</v>
      </c>
      <c r="F62" s="724"/>
    </row>
    <row r="63" spans="1:6" ht="12.75" customHeight="1" x14ac:dyDescent="0.2">
      <c r="A63" s="113" t="s">
        <v>319</v>
      </c>
      <c r="B63" s="300">
        <v>1</v>
      </c>
      <c r="C63" s="216"/>
      <c r="D63" s="216"/>
      <c r="E63" s="229" t="s">
        <v>51</v>
      </c>
      <c r="F63" s="724"/>
    </row>
    <row r="64" spans="1:6" x14ac:dyDescent="0.2">
      <c r="A64" s="113" t="s">
        <v>226</v>
      </c>
      <c r="B64" s="219">
        <v>3</v>
      </c>
      <c r="C64" s="219">
        <v>3</v>
      </c>
      <c r="D64" s="219">
        <v>3</v>
      </c>
      <c r="E64" s="229" t="s">
        <v>51</v>
      </c>
      <c r="F64" s="724"/>
    </row>
    <row r="65" spans="1:6" x14ac:dyDescent="0.2">
      <c r="A65" s="206" t="s">
        <v>349</v>
      </c>
      <c r="B65" s="219">
        <f>IF(B63&gt;2,D65,C65*B63)</f>
        <v>3</v>
      </c>
      <c r="C65" s="219">
        <v>3</v>
      </c>
      <c r="D65" s="219">
        <v>6</v>
      </c>
      <c r="E65" s="229" t="s">
        <v>51</v>
      </c>
      <c r="F65" s="724"/>
    </row>
    <row r="66" spans="1:6" x14ac:dyDescent="0.2">
      <c r="A66" s="113" t="s">
        <v>5</v>
      </c>
      <c r="B66" s="216">
        <v>15</v>
      </c>
      <c r="C66" s="216">
        <v>15</v>
      </c>
      <c r="D66" s="216">
        <v>15</v>
      </c>
      <c r="E66" s="219" t="s">
        <v>9</v>
      </c>
      <c r="F66" s="724"/>
    </row>
    <row r="67" spans="1:6" ht="12.75" customHeight="1" x14ac:dyDescent="0.2">
      <c r="A67" s="203" t="s">
        <v>316</v>
      </c>
      <c r="B67" s="226">
        <v>3</v>
      </c>
      <c r="C67" s="226">
        <v>3</v>
      </c>
      <c r="D67" s="226">
        <v>3</v>
      </c>
      <c r="E67" s="219" t="s">
        <v>9</v>
      </c>
      <c r="F67" s="223" t="s">
        <v>294</v>
      </c>
    </row>
    <row r="68" spans="1:6" ht="12.75" customHeight="1" x14ac:dyDescent="0.2">
      <c r="A68" s="230" t="s">
        <v>377</v>
      </c>
      <c r="B68" s="226">
        <v>2</v>
      </c>
      <c r="C68" s="226">
        <v>2</v>
      </c>
      <c r="D68" s="226">
        <v>2</v>
      </c>
      <c r="E68" s="219" t="s">
        <v>9</v>
      </c>
      <c r="F68" s="223" t="s">
        <v>296</v>
      </c>
    </row>
    <row r="69" spans="1:6" ht="12.75" customHeight="1" x14ac:dyDescent="0.2">
      <c r="A69" s="203" t="s">
        <v>3</v>
      </c>
      <c r="B69" s="226">
        <f>SUM(B67:B68)</f>
        <v>5</v>
      </c>
      <c r="C69" s="226">
        <v>5</v>
      </c>
      <c r="D69" s="226">
        <v>5</v>
      </c>
      <c r="E69" s="219" t="s">
        <v>9</v>
      </c>
      <c r="F69" s="224" t="s">
        <v>297</v>
      </c>
    </row>
    <row r="70" spans="1:6" ht="12.75" customHeight="1" x14ac:dyDescent="0.2">
      <c r="A70" s="230" t="s">
        <v>57</v>
      </c>
      <c r="B70" s="299">
        <v>2.3268</v>
      </c>
      <c r="C70" s="232">
        <v>2.0943000000000001</v>
      </c>
      <c r="D70" s="232">
        <v>2.5597000000000003</v>
      </c>
      <c r="E70" s="233" t="s">
        <v>52</v>
      </c>
      <c r="F70" s="721" t="s">
        <v>196</v>
      </c>
    </row>
    <row r="71" spans="1:6" ht="12.75" customHeight="1" x14ac:dyDescent="0.2">
      <c r="A71" s="230" t="s">
        <v>58</v>
      </c>
      <c r="B71" s="299">
        <f>B70</f>
        <v>2.3268</v>
      </c>
      <c r="C71" s="232">
        <v>2.0943000000000001</v>
      </c>
      <c r="D71" s="232">
        <v>2.5597000000000003</v>
      </c>
      <c r="E71" s="233" t="s">
        <v>52</v>
      </c>
      <c r="F71" s="722"/>
    </row>
    <row r="72" spans="1:6" ht="12.75" customHeight="1" x14ac:dyDescent="0.2">
      <c r="A72" s="202" t="s">
        <v>59</v>
      </c>
      <c r="B72" s="299">
        <v>0.2</v>
      </c>
      <c r="C72" s="220">
        <v>0.16000000000000003</v>
      </c>
      <c r="D72" s="220">
        <v>0.24</v>
      </c>
      <c r="E72" s="211" t="s">
        <v>9</v>
      </c>
      <c r="F72" s="722"/>
    </row>
    <row r="73" spans="1:6" ht="12.75" customHeight="1" x14ac:dyDescent="0.2">
      <c r="A73" s="202" t="s">
        <v>60</v>
      </c>
      <c r="B73" s="299">
        <v>0.1074</v>
      </c>
      <c r="C73" s="220">
        <v>8.5919999999999996E-2</v>
      </c>
      <c r="D73" s="220">
        <v>0.12887999999999999</v>
      </c>
      <c r="E73" s="211" t="s">
        <v>9</v>
      </c>
      <c r="F73" s="722"/>
    </row>
    <row r="74" spans="1:6" ht="12.75" customHeight="1" x14ac:dyDescent="0.2">
      <c r="A74" s="202" t="s">
        <v>61</v>
      </c>
      <c r="B74" s="299">
        <v>6.9699999999999998E-2</v>
      </c>
      <c r="C74" s="220">
        <v>5.5760000000000004E-2</v>
      </c>
      <c r="D74" s="220">
        <v>8.3639999999999992E-2</v>
      </c>
      <c r="E74" s="211" t="s">
        <v>9</v>
      </c>
      <c r="F74" s="723"/>
    </row>
    <row r="75" spans="1:6" s="53" customFormat="1" ht="38.25" x14ac:dyDescent="0.2">
      <c r="A75" s="207" t="s">
        <v>291</v>
      </c>
      <c r="B75" s="208">
        <v>7.24</v>
      </c>
      <c r="C75" s="208"/>
      <c r="D75" s="208"/>
      <c r="E75" s="209" t="s">
        <v>9</v>
      </c>
      <c r="F75" s="223" t="s">
        <v>298</v>
      </c>
    </row>
    <row r="76" spans="1:6" ht="12.75" customHeight="1" x14ac:dyDescent="0.2">
      <c r="C76" s="65"/>
    </row>
    <row r="77" spans="1:6" ht="12.75" customHeight="1" x14ac:dyDescent="0.2">
      <c r="C77" s="65"/>
    </row>
    <row r="78" spans="1:6" ht="12.75" customHeight="1" x14ac:dyDescent="0.2">
      <c r="C78" s="65"/>
    </row>
    <row r="79" spans="1:6" ht="12.75" customHeight="1" x14ac:dyDescent="0.2">
      <c r="C79" s="65"/>
    </row>
    <row r="80" spans="1:6" ht="12.75" customHeight="1" x14ac:dyDescent="0.2">
      <c r="C80" s="48"/>
      <c r="D80" s="48"/>
    </row>
    <row r="86" spans="3:3" ht="12.75" customHeight="1" x14ac:dyDescent="0.2">
      <c r="C86" s="65"/>
    </row>
  </sheetData>
  <sheetProtection password="DB60" sheet="1" objects="1" scenarios="1"/>
  <mergeCells count="4">
    <mergeCell ref="F46:F52"/>
    <mergeCell ref="F70:F74"/>
    <mergeCell ref="F55:F59"/>
    <mergeCell ref="F60:F66"/>
  </mergeCells>
  <dataValidations count="3">
    <dataValidation type="decimal" allowBlank="1" showInputMessage="1" showErrorMessage="1" sqref="B4:B40 B54 B60 B70 B72:B74">
      <formula1>C4</formula1>
      <formula2>D4</formula2>
    </dataValidation>
    <dataValidation type="whole" operator="notEqual" allowBlank="1" showInputMessage="1" showErrorMessage="1" sqref="B63">
      <formula1>0</formula1>
    </dataValidation>
    <dataValidation type="decimal" operator="equal" allowBlank="1" showInputMessage="1" showErrorMessage="1" sqref="B71">
      <formula1>B70</formula1>
    </dataValidation>
  </dataValidations>
  <printOptions horizontalCentered="1"/>
  <pageMargins left="0.19685039370078741" right="0.35433070866141736" top="0.43307086614173229" bottom="0.55118110236220474" header="0.31496062992125984" footer="0.39370078740157483"/>
  <pageSetup paperSize="9" scale="75" orientation="portrait" useFirstPageNumber="1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zoomScale="90" zoomScaleNormal="90" workbookViewId="0">
      <selection activeCell="C5" sqref="C5"/>
    </sheetView>
  </sheetViews>
  <sheetFormatPr defaultColWidth="8.85546875" defaultRowHeight="12.75" customHeight="1" x14ac:dyDescent="0.2"/>
  <cols>
    <col min="1" max="1" width="30" style="7" customWidth="1"/>
    <col min="2" max="3" width="15.42578125" style="10" customWidth="1"/>
    <col min="4" max="5" width="13.85546875" style="7" bestFit="1" customWidth="1"/>
    <col min="6" max="7" width="13.85546875" style="10" bestFit="1" customWidth="1"/>
    <col min="8" max="9" width="13.85546875" style="7" bestFit="1" customWidth="1"/>
    <col min="10" max="10" width="16.5703125" style="7" customWidth="1"/>
    <col min="11" max="16384" width="8.85546875" style="7"/>
  </cols>
  <sheetData>
    <row r="1" spans="1:10" ht="15.75" customHeight="1" x14ac:dyDescent="0.25">
      <c r="A1" s="292" t="s">
        <v>343</v>
      </c>
      <c r="B1" s="293"/>
      <c r="C1" s="293"/>
      <c r="D1" s="294"/>
      <c r="E1" s="294"/>
      <c r="F1" s="293"/>
      <c r="G1" s="293"/>
      <c r="H1" s="294"/>
      <c r="I1" s="294"/>
      <c r="J1" s="294"/>
    </row>
    <row r="2" spans="1:10" ht="12.75" customHeight="1" x14ac:dyDescent="0.2">
      <c r="A2" s="295"/>
      <c r="B2" s="296"/>
      <c r="C2" s="296"/>
      <c r="D2" s="295"/>
      <c r="E2" s="295"/>
      <c r="F2" s="296"/>
      <c r="G2" s="296"/>
      <c r="H2" s="295"/>
      <c r="I2" s="295"/>
      <c r="J2" s="295"/>
    </row>
    <row r="3" spans="1:10" ht="12.75" customHeight="1" x14ac:dyDescent="0.2">
      <c r="A3" s="234" t="s">
        <v>144</v>
      </c>
      <c r="B3" s="235" t="s">
        <v>317</v>
      </c>
      <c r="C3" s="235" t="s">
        <v>386</v>
      </c>
      <c r="D3" s="236">
        <v>1</v>
      </c>
      <c r="E3" s="236">
        <v>2</v>
      </c>
      <c r="F3" s="236">
        <v>3</v>
      </c>
      <c r="G3" s="236">
        <v>4</v>
      </c>
      <c r="H3" s="236">
        <v>5</v>
      </c>
      <c r="I3" s="236">
        <v>6</v>
      </c>
      <c r="J3" s="235" t="s">
        <v>145</v>
      </c>
    </row>
    <row r="4" spans="1:10" ht="12.75" customHeight="1" x14ac:dyDescent="0.2">
      <c r="A4" s="729" t="s">
        <v>183</v>
      </c>
      <c r="B4" s="730"/>
      <c r="C4" s="270" t="s">
        <v>402</v>
      </c>
      <c r="D4" s="748" t="s">
        <v>186</v>
      </c>
      <c r="E4" s="748"/>
      <c r="F4" s="748" t="s">
        <v>184</v>
      </c>
      <c r="G4" s="748"/>
      <c r="H4" s="748" t="s">
        <v>185</v>
      </c>
      <c r="I4" s="748"/>
      <c r="J4" s="237"/>
    </row>
    <row r="5" spans="1:10" ht="12.75" customHeight="1" x14ac:dyDescent="0.2">
      <c r="A5" s="100" t="s">
        <v>57</v>
      </c>
      <c r="B5" s="162">
        <f>C5</f>
        <v>2.3268</v>
      </c>
      <c r="C5" s="96">
        <f>'02 Coeficientes'!B70</f>
        <v>2.3268</v>
      </c>
      <c r="D5" s="96"/>
      <c r="E5" s="162"/>
      <c r="F5" s="162"/>
      <c r="G5" s="162"/>
      <c r="H5" s="162"/>
      <c r="I5" s="162"/>
      <c r="J5" s="238" t="s">
        <v>187</v>
      </c>
    </row>
    <row r="6" spans="1:10" ht="12.75" customHeight="1" x14ac:dyDescent="0.2">
      <c r="A6" s="100" t="s">
        <v>58</v>
      </c>
      <c r="B6" s="162">
        <f t="shared" ref="B6" si="0">B5</f>
        <v>2.3268</v>
      </c>
      <c r="C6" s="96">
        <f>C5</f>
        <v>2.3268</v>
      </c>
      <c r="D6" s="96"/>
      <c r="E6" s="162"/>
      <c r="F6" s="162"/>
      <c r="G6" s="162"/>
      <c r="H6" s="162"/>
      <c r="I6" s="162"/>
      <c r="J6" s="238" t="s">
        <v>187</v>
      </c>
    </row>
    <row r="7" spans="1:10" ht="12.75" customHeight="1" x14ac:dyDescent="0.2">
      <c r="A7" s="101" t="s">
        <v>197</v>
      </c>
      <c r="B7" s="163">
        <f>C7</f>
        <v>3899571.9913734817</v>
      </c>
      <c r="C7" s="350">
        <f>C18*$J$35/12</f>
        <v>3899571.9913734817</v>
      </c>
      <c r="D7" s="350"/>
      <c r="E7" s="351"/>
      <c r="F7" s="351"/>
      <c r="G7" s="351"/>
      <c r="H7" s="351"/>
      <c r="I7" s="351"/>
      <c r="J7" s="241" t="s">
        <v>199</v>
      </c>
    </row>
    <row r="8" spans="1:10" ht="12.75" customHeight="1" x14ac:dyDescent="0.2">
      <c r="A8" s="101" t="s">
        <v>198</v>
      </c>
      <c r="B8" s="163">
        <f>C8</f>
        <v>1862276.7157795534</v>
      </c>
      <c r="C8" s="350">
        <f>C20*$J$50/12</f>
        <v>1862276.7157795534</v>
      </c>
      <c r="D8" s="350"/>
      <c r="E8" s="351"/>
      <c r="F8" s="351"/>
      <c r="G8" s="351"/>
      <c r="H8" s="351"/>
      <c r="I8" s="351"/>
      <c r="J8" s="241" t="s">
        <v>49</v>
      </c>
    </row>
    <row r="9" spans="1:10" ht="12.75" customHeight="1" x14ac:dyDescent="0.2">
      <c r="A9" s="100" t="s">
        <v>62</v>
      </c>
      <c r="B9" s="164">
        <f>C9</f>
        <v>320</v>
      </c>
      <c r="C9" s="91">
        <v>320</v>
      </c>
      <c r="D9" s="91">
        <f>IF('Instruções iniciais'!$G$4=1,190,0)</f>
        <v>0</v>
      </c>
      <c r="E9" s="91">
        <f>IF('Instruções iniciais'!$G$4=2,215,0)</f>
        <v>0</v>
      </c>
      <c r="F9" s="91">
        <f>IF('Instruções iniciais'!$G$4=3,265,0)</f>
        <v>0</v>
      </c>
      <c r="G9" s="91">
        <f>IF('Instruções iniciais'!$G$4=4,210,0)</f>
        <v>0</v>
      </c>
      <c r="H9" s="91">
        <f>IF('Instruções iniciais'!$G$4=5,175,0)</f>
        <v>0</v>
      </c>
      <c r="I9" s="91">
        <f>IF('Instruções iniciais'!$G$4=6,179,0)</f>
        <v>0</v>
      </c>
      <c r="J9" s="239" t="s">
        <v>63</v>
      </c>
    </row>
    <row r="10" spans="1:10" ht="12.75" customHeight="1" x14ac:dyDescent="0.2">
      <c r="A10" s="100" t="s">
        <v>64</v>
      </c>
      <c r="B10" s="164">
        <f>C10</f>
        <v>32</v>
      </c>
      <c r="C10" s="91">
        <v>32</v>
      </c>
      <c r="D10" s="91">
        <f>IF('Instruções iniciais'!$G$4=1,19,0)</f>
        <v>0</v>
      </c>
      <c r="E10" s="91">
        <f>IF('Instruções iniciais'!$G$4=2,21,0)</f>
        <v>0</v>
      </c>
      <c r="F10" s="91">
        <f>IF('Instruções iniciais'!$G$4=3,27,0)</f>
        <v>0</v>
      </c>
      <c r="G10" s="91">
        <f>IF('Instruções iniciais'!$G$4=4,21,0)</f>
        <v>0</v>
      </c>
      <c r="H10" s="91">
        <f>IF('Instruções iniciais'!$G$4=5,17,0)</f>
        <v>0</v>
      </c>
      <c r="I10" s="91">
        <f>IF('Instruções iniciais'!$G$4=6,18,0)</f>
        <v>0</v>
      </c>
      <c r="J10" s="239" t="s">
        <v>63</v>
      </c>
    </row>
    <row r="11" spans="1:10" ht="12.75" customHeight="1" x14ac:dyDescent="0.2">
      <c r="A11" s="100" t="s">
        <v>65</v>
      </c>
      <c r="B11" s="165">
        <f>B9+B10</f>
        <v>352</v>
      </c>
      <c r="C11" s="91">
        <f>C9+C10</f>
        <v>352</v>
      </c>
      <c r="D11" s="91">
        <f>D9+D10</f>
        <v>0</v>
      </c>
      <c r="E11" s="91">
        <f>E9+E10</f>
        <v>0</v>
      </c>
      <c r="F11" s="91">
        <f t="shared" ref="F11:I11" si="1">F9+F10</f>
        <v>0</v>
      </c>
      <c r="G11" s="91">
        <f t="shared" si="1"/>
        <v>0</v>
      </c>
      <c r="H11" s="91">
        <f t="shared" si="1"/>
        <v>0</v>
      </c>
      <c r="I11" s="91">
        <f t="shared" si="1"/>
        <v>0</v>
      </c>
      <c r="J11" s="239" t="s">
        <v>63</v>
      </c>
    </row>
    <row r="12" spans="1:10" ht="12.75" customHeight="1" x14ac:dyDescent="0.2">
      <c r="A12" s="100" t="s">
        <v>66</v>
      </c>
      <c r="B12" s="166">
        <f t="shared" ref="B12:E13" si="2">B7/B8</f>
        <v>2.0939809633720903</v>
      </c>
      <c r="C12" s="98">
        <f t="shared" ref="C12" si="3">C7/C8</f>
        <v>2.0939809633720903</v>
      </c>
      <c r="D12" s="98" t="e">
        <f t="shared" si="2"/>
        <v>#DIV/0!</v>
      </c>
      <c r="E12" s="98" t="e">
        <f t="shared" si="2"/>
        <v>#DIV/0!</v>
      </c>
      <c r="F12" s="98" t="e">
        <f t="shared" ref="F12:I12" si="4">F7/F8</f>
        <v>#DIV/0!</v>
      </c>
      <c r="G12" s="98" t="e">
        <f t="shared" si="4"/>
        <v>#DIV/0!</v>
      </c>
      <c r="H12" s="98" t="e">
        <f t="shared" si="4"/>
        <v>#DIV/0!</v>
      </c>
      <c r="I12" s="98" t="e">
        <f t="shared" si="4"/>
        <v>#DIV/0!</v>
      </c>
      <c r="J12" s="238" t="s">
        <v>67</v>
      </c>
    </row>
    <row r="13" spans="1:10" ht="26.25" customHeight="1" x14ac:dyDescent="0.2">
      <c r="A13" s="102" t="s">
        <v>188</v>
      </c>
      <c r="B13" s="167">
        <f t="shared" si="2"/>
        <v>5819.6147368111042</v>
      </c>
      <c r="C13" s="99">
        <f t="shared" ref="C13" si="5">C8/C9</f>
        <v>5819.6147368111042</v>
      </c>
      <c r="D13" s="99" t="e">
        <f t="shared" si="2"/>
        <v>#DIV/0!</v>
      </c>
      <c r="E13" s="99" t="e">
        <f t="shared" si="2"/>
        <v>#DIV/0!</v>
      </c>
      <c r="F13" s="99" t="e">
        <f t="shared" ref="F13:I13" si="6">F8/F9</f>
        <v>#DIV/0!</v>
      </c>
      <c r="G13" s="99" t="e">
        <f t="shared" si="6"/>
        <v>#DIV/0!</v>
      </c>
      <c r="H13" s="99" t="e">
        <f t="shared" si="6"/>
        <v>#DIV/0!</v>
      </c>
      <c r="I13" s="99" t="e">
        <f t="shared" si="6"/>
        <v>#DIV/0!</v>
      </c>
      <c r="J13" s="240" t="s">
        <v>68</v>
      </c>
    </row>
    <row r="14" spans="1:10" ht="28.5" customHeight="1" x14ac:dyDescent="0.2">
      <c r="A14" s="102" t="s">
        <v>189</v>
      </c>
      <c r="B14" s="167">
        <f>B8/B11</f>
        <v>5290.5588516464586</v>
      </c>
      <c r="C14" s="99">
        <f>C8/C11</f>
        <v>5290.5588516464586</v>
      </c>
      <c r="D14" s="99" t="e">
        <f>D8/D11</f>
        <v>#DIV/0!</v>
      </c>
      <c r="E14" s="99" t="e">
        <f>E8/E11</f>
        <v>#DIV/0!</v>
      </c>
      <c r="F14" s="99" t="e">
        <f>F8/F11</f>
        <v>#DIV/0!</v>
      </c>
      <c r="G14" s="99" t="e">
        <f t="shared" ref="G14:I14" si="7">G8/G11</f>
        <v>#DIV/0!</v>
      </c>
      <c r="H14" s="99" t="e">
        <f t="shared" si="7"/>
        <v>#DIV/0!</v>
      </c>
      <c r="I14" s="99" t="e">
        <f t="shared" si="7"/>
        <v>#DIV/0!</v>
      </c>
      <c r="J14" s="240" t="s">
        <v>68</v>
      </c>
    </row>
    <row r="15" spans="1:10" ht="12.75" customHeight="1" x14ac:dyDescent="0.2">
      <c r="A15" s="295"/>
      <c r="B15" s="296"/>
      <c r="C15" s="296"/>
      <c r="D15" s="295"/>
      <c r="E15" s="295"/>
      <c r="F15" s="296"/>
      <c r="G15" s="296"/>
      <c r="H15" s="295"/>
      <c r="I15" s="295"/>
      <c r="J15" s="295"/>
    </row>
    <row r="16" spans="1:10" ht="26.25" customHeight="1" x14ac:dyDescent="0.2">
      <c r="A16" s="749" t="s">
        <v>396</v>
      </c>
      <c r="B16" s="750"/>
      <c r="C16" s="341" t="s">
        <v>386</v>
      </c>
      <c r="D16" s="341" t="s">
        <v>387</v>
      </c>
      <c r="E16" s="341" t="s">
        <v>388</v>
      </c>
      <c r="F16" s="341" t="s">
        <v>389</v>
      </c>
      <c r="G16" s="341" t="s">
        <v>390</v>
      </c>
      <c r="H16" s="341" t="s">
        <v>391</v>
      </c>
      <c r="I16" s="341" t="s">
        <v>392</v>
      </c>
      <c r="J16" s="341" t="s">
        <v>3</v>
      </c>
    </row>
    <row r="17" spans="1:10" ht="12.75" customHeight="1" x14ac:dyDescent="0.2">
      <c r="A17" s="751" t="s">
        <v>394</v>
      </c>
      <c r="B17" s="751"/>
      <c r="C17" s="342">
        <v>48031774.243791081</v>
      </c>
      <c r="D17" s="342">
        <v>26892097.479553778</v>
      </c>
      <c r="E17" s="342">
        <v>29736426.262946717</v>
      </c>
      <c r="F17" s="342">
        <v>39037348.773827322</v>
      </c>
      <c r="G17" s="342">
        <v>25690903.162320409</v>
      </c>
      <c r="H17" s="342">
        <v>24598754.53842834</v>
      </c>
      <c r="I17" s="342">
        <v>25575296.081191264</v>
      </c>
      <c r="J17" s="342">
        <f>SUM(C17:I17)</f>
        <v>219562600.54205891</v>
      </c>
    </row>
    <row r="18" spans="1:10" ht="12.75" customHeight="1" x14ac:dyDescent="0.2">
      <c r="A18" s="746" t="s">
        <v>393</v>
      </c>
      <c r="B18" s="747"/>
      <c r="C18" s="343">
        <f>C17/$J$17</f>
        <v>0.21876118303030495</v>
      </c>
      <c r="D18" s="343">
        <f t="shared" ref="D18:J18" si="8">D17/$J$17</f>
        <v>0.12248031956791471</v>
      </c>
      <c r="E18" s="343">
        <f t="shared" si="8"/>
        <v>0.13543484268055239</v>
      </c>
      <c r="F18" s="343">
        <f t="shared" si="8"/>
        <v>0.17779598473260666</v>
      </c>
      <c r="G18" s="343">
        <f t="shared" si="8"/>
        <v>0.11700946836526067</v>
      </c>
      <c r="H18" s="343">
        <f t="shared" si="8"/>
        <v>0.11203526683368946</v>
      </c>
      <c r="I18" s="343">
        <f t="shared" si="8"/>
        <v>0.11648293478967114</v>
      </c>
      <c r="J18" s="343">
        <f t="shared" si="8"/>
        <v>1</v>
      </c>
    </row>
    <row r="19" spans="1:10" ht="12.75" customHeight="1" x14ac:dyDescent="0.2">
      <c r="A19" s="746" t="s">
        <v>7</v>
      </c>
      <c r="B19" s="747"/>
      <c r="C19" s="342">
        <v>22448108.047999963</v>
      </c>
      <c r="D19" s="342">
        <v>14425864.040999686</v>
      </c>
      <c r="E19" s="342">
        <v>17214848.15099971</v>
      </c>
      <c r="F19" s="342">
        <v>20717633.531000376</v>
      </c>
      <c r="G19" s="342">
        <v>17027734.567000188</v>
      </c>
      <c r="H19" s="342">
        <v>13144893.378000401</v>
      </c>
      <c r="I19" s="342">
        <v>14387833.157000056</v>
      </c>
      <c r="J19" s="342">
        <f>SUM(C19:I19)</f>
        <v>119366914.87300037</v>
      </c>
    </row>
    <row r="20" spans="1:10" ht="12.75" customHeight="1" x14ac:dyDescent="0.2">
      <c r="A20" s="746" t="s">
        <v>395</v>
      </c>
      <c r="B20" s="747"/>
      <c r="C20" s="343">
        <f>C19/$J$19</f>
        <v>0.188059715473785</v>
      </c>
      <c r="D20" s="343">
        <f t="shared" ref="D20:J20" si="9">D19/$J$19</f>
        <v>0.12085311961315234</v>
      </c>
      <c r="E20" s="343">
        <f t="shared" si="9"/>
        <v>0.14421791975871481</v>
      </c>
      <c r="F20" s="343">
        <f t="shared" si="9"/>
        <v>0.17356261199380718</v>
      </c>
      <c r="G20" s="343">
        <f t="shared" si="9"/>
        <v>0.14265036995482988</v>
      </c>
      <c r="H20" s="343">
        <f t="shared" si="9"/>
        <v>0.11012174849275297</v>
      </c>
      <c r="I20" s="343">
        <f t="shared" si="9"/>
        <v>0.1205345147129579</v>
      </c>
      <c r="J20" s="343">
        <f t="shared" si="9"/>
        <v>1</v>
      </c>
    </row>
    <row r="21" spans="1:10" ht="12.75" customHeight="1" x14ac:dyDescent="0.2">
      <c r="A21" s="295"/>
      <c r="B21" s="296"/>
      <c r="C21" s="296"/>
      <c r="D21" s="295"/>
      <c r="E21" s="295"/>
      <c r="F21" s="296"/>
      <c r="G21" s="296"/>
      <c r="H21" s="295"/>
      <c r="I21" s="295"/>
      <c r="J21" s="295"/>
    </row>
    <row r="22" spans="1:10" ht="27" customHeight="1" x14ac:dyDescent="0.2">
      <c r="A22" s="737" t="s">
        <v>397</v>
      </c>
      <c r="B22" s="738"/>
      <c r="C22" s="341" t="s">
        <v>386</v>
      </c>
      <c r="D22" s="739" t="s">
        <v>398</v>
      </c>
      <c r="E22" s="740"/>
      <c r="F22" s="741" t="s">
        <v>399</v>
      </c>
      <c r="G22" s="742"/>
      <c r="H22" s="741" t="s">
        <v>400</v>
      </c>
      <c r="I22" s="742"/>
      <c r="J22" s="341" t="s">
        <v>3</v>
      </c>
    </row>
    <row r="23" spans="1:10" ht="12.75" customHeight="1" x14ac:dyDescent="0.2">
      <c r="A23" s="731">
        <v>41275</v>
      </c>
      <c r="B23" s="743"/>
      <c r="C23" s="344">
        <v>3895118.7719298247</v>
      </c>
      <c r="D23" s="744">
        <v>4549469.7122807018</v>
      </c>
      <c r="E23" s="745"/>
      <c r="F23" s="735">
        <v>4937130.0350877196</v>
      </c>
      <c r="G23" s="736"/>
      <c r="H23" s="735">
        <v>3833323.5473684208</v>
      </c>
      <c r="I23" s="736"/>
      <c r="J23" s="344">
        <f>SUM(C23:I23)</f>
        <v>17215042.066666666</v>
      </c>
    </row>
    <row r="24" spans="1:10" ht="12.75" customHeight="1" x14ac:dyDescent="0.2">
      <c r="A24" s="731">
        <v>41306</v>
      </c>
      <c r="B24" s="743"/>
      <c r="C24" s="344">
        <v>3119369.2807017546</v>
      </c>
      <c r="D24" s="744">
        <v>3802202.8350877194</v>
      </c>
      <c r="E24" s="745"/>
      <c r="F24" s="735">
        <v>4118792.1087719295</v>
      </c>
      <c r="G24" s="736"/>
      <c r="H24" s="735">
        <v>3166123.2421052633</v>
      </c>
      <c r="I24" s="736"/>
      <c r="J24" s="344">
        <f t="shared" ref="J24:J35" si="10">SUM(C24:I24)</f>
        <v>14206487.466666669</v>
      </c>
    </row>
    <row r="25" spans="1:10" ht="12.75" customHeight="1" x14ac:dyDescent="0.2">
      <c r="A25" s="731">
        <v>41699</v>
      </c>
      <c r="B25" s="743"/>
      <c r="C25" s="344">
        <v>4066327.7</v>
      </c>
      <c r="D25" s="735">
        <v>4471170.3</v>
      </c>
      <c r="E25" s="736"/>
      <c r="F25" s="735">
        <v>4994414</v>
      </c>
      <c r="G25" s="736"/>
      <c r="H25" s="735">
        <v>4089514.1</v>
      </c>
      <c r="I25" s="736"/>
      <c r="J25" s="344">
        <f t="shared" si="10"/>
        <v>17621426.100000001</v>
      </c>
    </row>
    <row r="26" spans="1:10" ht="12.75" customHeight="1" x14ac:dyDescent="0.2">
      <c r="A26" s="731">
        <v>41730</v>
      </c>
      <c r="B26" s="743"/>
      <c r="C26" s="344">
        <v>4185146.1</v>
      </c>
      <c r="D26" s="735">
        <v>4666838.9000000004</v>
      </c>
      <c r="E26" s="736"/>
      <c r="F26" s="735">
        <v>5360203.3</v>
      </c>
      <c r="G26" s="736"/>
      <c r="H26" s="735">
        <v>4261953.5</v>
      </c>
      <c r="I26" s="736"/>
      <c r="J26" s="344">
        <f t="shared" si="10"/>
        <v>18474141.800000001</v>
      </c>
    </row>
    <row r="27" spans="1:10" ht="12.75" customHeight="1" x14ac:dyDescent="0.2">
      <c r="A27" s="731">
        <v>41760</v>
      </c>
      <c r="B27" s="743"/>
      <c r="C27" s="344">
        <v>4257902.5728813559</v>
      </c>
      <c r="D27" s="735">
        <v>4813885.9966101693</v>
      </c>
      <c r="E27" s="736"/>
      <c r="F27" s="735">
        <v>5465290.6542372881</v>
      </c>
      <c r="G27" s="736"/>
      <c r="H27" s="735">
        <v>4315382.7898305086</v>
      </c>
      <c r="I27" s="736"/>
      <c r="J27" s="344">
        <f t="shared" si="10"/>
        <v>18852462.013559323</v>
      </c>
    </row>
    <row r="28" spans="1:10" ht="12.75" customHeight="1" x14ac:dyDescent="0.2">
      <c r="A28" s="731">
        <v>41791</v>
      </c>
      <c r="B28" s="743"/>
      <c r="C28" s="344">
        <v>3821330.2881355933</v>
      </c>
      <c r="D28" s="735">
        <v>4324587.7288135597</v>
      </c>
      <c r="E28" s="736"/>
      <c r="F28" s="735">
        <v>4783495.4542372879</v>
      </c>
      <c r="G28" s="736"/>
      <c r="H28" s="735">
        <v>3778941.8542372882</v>
      </c>
      <c r="I28" s="736"/>
      <c r="J28" s="344">
        <f t="shared" si="10"/>
        <v>16708355.325423729</v>
      </c>
    </row>
    <row r="29" spans="1:10" ht="12.75" customHeight="1" x14ac:dyDescent="0.2">
      <c r="A29" s="731">
        <v>41821</v>
      </c>
      <c r="B29" s="743"/>
      <c r="C29" s="344">
        <v>4153549.9186440674</v>
      </c>
      <c r="D29" s="735">
        <v>4852267.8169491524</v>
      </c>
      <c r="E29" s="736"/>
      <c r="F29" s="735">
        <v>5351549.4711864404</v>
      </c>
      <c r="G29" s="736"/>
      <c r="H29" s="735">
        <v>4264487.8983050846</v>
      </c>
      <c r="I29" s="736"/>
      <c r="J29" s="344">
        <f t="shared" si="10"/>
        <v>18621855.105084747</v>
      </c>
    </row>
    <row r="30" spans="1:10" ht="12.75" customHeight="1" x14ac:dyDescent="0.2">
      <c r="A30" s="731">
        <v>41852</v>
      </c>
      <c r="B30" s="743"/>
      <c r="C30" s="344">
        <v>4320870.7050847458</v>
      </c>
      <c r="D30" s="735">
        <v>4827777.7423728816</v>
      </c>
      <c r="E30" s="736"/>
      <c r="F30" s="735">
        <v>5464741.7016949151</v>
      </c>
      <c r="G30" s="736"/>
      <c r="H30" s="735">
        <v>4333910.0406779665</v>
      </c>
      <c r="I30" s="736"/>
      <c r="J30" s="344">
        <f t="shared" si="10"/>
        <v>18947300.189830508</v>
      </c>
    </row>
    <row r="31" spans="1:10" ht="12.75" customHeight="1" x14ac:dyDescent="0.2">
      <c r="A31" s="731">
        <v>41883</v>
      </c>
      <c r="B31" s="743"/>
      <c r="C31" s="344">
        <v>4307932.142372882</v>
      </c>
      <c r="D31" s="735">
        <v>4825404.1525423722</v>
      </c>
      <c r="E31" s="736"/>
      <c r="F31" s="735">
        <v>5433084.5152542368</v>
      </c>
      <c r="G31" s="736"/>
      <c r="H31" s="735">
        <v>4313061.5864406778</v>
      </c>
      <c r="I31" s="736"/>
      <c r="J31" s="344">
        <f t="shared" si="10"/>
        <v>18879482.396610171</v>
      </c>
    </row>
    <row r="32" spans="1:10" ht="12.75" customHeight="1" x14ac:dyDescent="0.2">
      <c r="A32" s="731">
        <v>41913</v>
      </c>
      <c r="B32" s="743"/>
      <c r="C32" s="344">
        <v>4354868.3661016943</v>
      </c>
      <c r="D32" s="735">
        <v>4967357.5491525428</v>
      </c>
      <c r="E32" s="736"/>
      <c r="F32" s="735">
        <v>5507099.2169491528</v>
      </c>
      <c r="G32" s="736"/>
      <c r="H32" s="735">
        <v>4389071.4847457632</v>
      </c>
      <c r="I32" s="736"/>
      <c r="J32" s="344">
        <f t="shared" si="10"/>
        <v>19218396.616949152</v>
      </c>
    </row>
    <row r="33" spans="1:10" ht="12.75" customHeight="1" x14ac:dyDescent="0.2">
      <c r="A33" s="731">
        <v>41944</v>
      </c>
      <c r="B33" s="743"/>
      <c r="C33" s="344">
        <v>4061660.9288135595</v>
      </c>
      <c r="D33" s="735">
        <v>4600619.6711864406</v>
      </c>
      <c r="E33" s="736"/>
      <c r="F33" s="735">
        <v>5064422.1457627118</v>
      </c>
      <c r="G33" s="736"/>
      <c r="H33" s="735">
        <v>4116126.7525423728</v>
      </c>
      <c r="I33" s="736"/>
      <c r="J33" s="344">
        <f t="shared" si="10"/>
        <v>17842829.498305082</v>
      </c>
    </row>
    <row r="34" spans="1:10" ht="12.75" customHeight="1" x14ac:dyDescent="0.2">
      <c r="A34" s="731">
        <v>41974</v>
      </c>
      <c r="B34" s="743"/>
      <c r="C34" s="344">
        <v>3786844.8033898305</v>
      </c>
      <c r="D34" s="735">
        <v>4572999.3966101687</v>
      </c>
      <c r="E34" s="736"/>
      <c r="F34" s="735">
        <v>4933386.2677966096</v>
      </c>
      <c r="G34" s="736"/>
      <c r="H34" s="735">
        <v>4027433.2474576272</v>
      </c>
      <c r="I34" s="736"/>
      <c r="J34" s="344">
        <f t="shared" si="10"/>
        <v>17320663.715254236</v>
      </c>
    </row>
    <row r="35" spans="1:10" ht="12.75" customHeight="1" x14ac:dyDescent="0.2">
      <c r="A35" s="725" t="s">
        <v>3</v>
      </c>
      <c r="B35" s="726"/>
      <c r="C35" s="345">
        <f>SUM(C23:C34)</f>
        <v>48330921.578055307</v>
      </c>
      <c r="D35" s="727">
        <f>SUM(D23:D34)</f>
        <v>55274581.801605709</v>
      </c>
      <c r="E35" s="728"/>
      <c r="F35" s="727">
        <f>SUM(F23:F34)</f>
        <v>61413608.870978281</v>
      </c>
      <c r="G35" s="728"/>
      <c r="H35" s="727">
        <f>SUM(H23:H34)</f>
        <v>48889330.043710962</v>
      </c>
      <c r="I35" s="728"/>
      <c r="J35" s="345">
        <f t="shared" si="10"/>
        <v>213908442.29435027</v>
      </c>
    </row>
    <row r="36" spans="1:10" ht="12.75" customHeight="1" x14ac:dyDescent="0.2">
      <c r="A36" s="295"/>
      <c r="B36" s="296"/>
      <c r="C36" s="296"/>
      <c r="D36" s="295"/>
      <c r="E36" s="295"/>
      <c r="F36" s="296"/>
      <c r="G36" s="296"/>
      <c r="H36" s="295"/>
      <c r="I36" s="295"/>
      <c r="J36" s="295"/>
    </row>
    <row r="37" spans="1:10" ht="26.25" customHeight="1" x14ac:dyDescent="0.2">
      <c r="A37" s="737" t="s">
        <v>401</v>
      </c>
      <c r="B37" s="738"/>
      <c r="C37" s="346" t="s">
        <v>386</v>
      </c>
      <c r="D37" s="739" t="s">
        <v>398</v>
      </c>
      <c r="E37" s="740"/>
      <c r="F37" s="741" t="s">
        <v>399</v>
      </c>
      <c r="G37" s="742"/>
      <c r="H37" s="741" t="s">
        <v>400</v>
      </c>
      <c r="I37" s="742"/>
      <c r="J37" s="341" t="s">
        <v>3</v>
      </c>
    </row>
    <row r="38" spans="1:10" ht="12.75" customHeight="1" x14ac:dyDescent="0.2">
      <c r="A38" s="731">
        <v>41275</v>
      </c>
      <c r="B38" s="732"/>
      <c r="C38" s="347">
        <v>1864124.409</v>
      </c>
      <c r="D38" s="733">
        <v>2761067.1039999998</v>
      </c>
      <c r="E38" s="734"/>
      <c r="F38" s="733">
        <v>2980518.95</v>
      </c>
      <c r="G38" s="734"/>
      <c r="H38" s="733">
        <v>2168838.1529999999</v>
      </c>
      <c r="I38" s="734"/>
      <c r="J38" s="344">
        <f>SUM(C38:I38)</f>
        <v>9774548.6160000004</v>
      </c>
    </row>
    <row r="39" spans="1:10" ht="12.75" customHeight="1" x14ac:dyDescent="0.2">
      <c r="A39" s="731">
        <v>41306</v>
      </c>
      <c r="B39" s="732"/>
      <c r="C39" s="347">
        <v>1635297.6680000001</v>
      </c>
      <c r="D39" s="733">
        <v>2431193.327</v>
      </c>
      <c r="E39" s="734"/>
      <c r="F39" s="733">
        <v>2643939.6409999998</v>
      </c>
      <c r="G39" s="734"/>
      <c r="H39" s="733">
        <v>1919425.69</v>
      </c>
      <c r="I39" s="734"/>
      <c r="J39" s="344">
        <f t="shared" ref="J39:J50" si="11">SUM(C39:I39)</f>
        <v>8629856.3259999994</v>
      </c>
    </row>
    <row r="40" spans="1:10" ht="12.75" customHeight="1" x14ac:dyDescent="0.2">
      <c r="A40" s="731">
        <v>41699</v>
      </c>
      <c r="B40" s="732"/>
      <c r="C40" s="347">
        <v>1909125.672</v>
      </c>
      <c r="D40" s="733">
        <v>2671444.6320000002</v>
      </c>
      <c r="E40" s="734"/>
      <c r="F40" s="733">
        <v>3011945.7009999999</v>
      </c>
      <c r="G40" s="734"/>
      <c r="H40" s="733">
        <v>2237358.352</v>
      </c>
      <c r="I40" s="734"/>
      <c r="J40" s="344">
        <f t="shared" si="11"/>
        <v>9829874.3570000008</v>
      </c>
    </row>
    <row r="41" spans="1:10" ht="12.75" customHeight="1" x14ac:dyDescent="0.2">
      <c r="A41" s="731">
        <v>41730</v>
      </c>
      <c r="B41" s="732"/>
      <c r="C41" s="347">
        <v>1831060.5220000001</v>
      </c>
      <c r="D41" s="733">
        <v>2615618.6680000001</v>
      </c>
      <c r="E41" s="734"/>
      <c r="F41" s="733">
        <v>3018132.2650000001</v>
      </c>
      <c r="G41" s="734"/>
      <c r="H41" s="733">
        <v>2169974.5410000002</v>
      </c>
      <c r="I41" s="734"/>
      <c r="J41" s="344">
        <f t="shared" si="11"/>
        <v>9634785.9959999993</v>
      </c>
    </row>
    <row r="42" spans="1:10" ht="12.75" customHeight="1" x14ac:dyDescent="0.2">
      <c r="A42" s="731">
        <v>41760</v>
      </c>
      <c r="B42" s="732"/>
      <c r="C42" s="347">
        <v>1923277.8859999999</v>
      </c>
      <c r="D42" s="733">
        <v>2751106.4750000001</v>
      </c>
      <c r="E42" s="734"/>
      <c r="F42" s="733">
        <v>3163937.6630000002</v>
      </c>
      <c r="G42" s="734"/>
      <c r="H42" s="733">
        <v>2284752.3190000001</v>
      </c>
      <c r="I42" s="734"/>
      <c r="J42" s="344">
        <f t="shared" si="11"/>
        <v>10123074.343</v>
      </c>
    </row>
    <row r="43" spans="1:10" ht="12.75" customHeight="1" x14ac:dyDescent="0.2">
      <c r="A43" s="731">
        <v>41791</v>
      </c>
      <c r="B43" s="732"/>
      <c r="C43" s="347">
        <v>1823337.4569999999</v>
      </c>
      <c r="D43" s="733">
        <v>2591005.571</v>
      </c>
      <c r="E43" s="734"/>
      <c r="F43" s="733">
        <v>2947198.6120000002</v>
      </c>
      <c r="G43" s="734"/>
      <c r="H43" s="733">
        <v>2150367.7069999999</v>
      </c>
      <c r="I43" s="734"/>
      <c r="J43" s="344">
        <f t="shared" si="11"/>
        <v>9511909.347000001</v>
      </c>
    </row>
    <row r="44" spans="1:10" ht="12.75" customHeight="1" x14ac:dyDescent="0.2">
      <c r="A44" s="731">
        <v>41821</v>
      </c>
      <c r="B44" s="732"/>
      <c r="C44" s="347">
        <v>1989365.39</v>
      </c>
      <c r="D44" s="733">
        <v>2829808.9989999998</v>
      </c>
      <c r="E44" s="734"/>
      <c r="F44" s="733">
        <v>3260167.929</v>
      </c>
      <c r="G44" s="734"/>
      <c r="H44" s="733">
        <v>2409610.5559999999</v>
      </c>
      <c r="I44" s="734"/>
      <c r="J44" s="344">
        <f t="shared" si="11"/>
        <v>10488952.874</v>
      </c>
    </row>
    <row r="45" spans="1:10" ht="12.75" customHeight="1" x14ac:dyDescent="0.2">
      <c r="A45" s="731">
        <v>41852</v>
      </c>
      <c r="B45" s="732"/>
      <c r="C45" s="347">
        <v>1963727.156</v>
      </c>
      <c r="D45" s="733">
        <v>2737073.6880000001</v>
      </c>
      <c r="E45" s="734"/>
      <c r="F45" s="733">
        <v>3189964.037</v>
      </c>
      <c r="G45" s="734"/>
      <c r="H45" s="733">
        <v>2325229.1170000001</v>
      </c>
      <c r="I45" s="734"/>
      <c r="J45" s="344">
        <f t="shared" si="11"/>
        <v>10215993.998000002</v>
      </c>
    </row>
    <row r="46" spans="1:10" ht="12.75" customHeight="1" x14ac:dyDescent="0.2">
      <c r="A46" s="731">
        <v>41883</v>
      </c>
      <c r="B46" s="732"/>
      <c r="C46" s="347">
        <v>1945082.324</v>
      </c>
      <c r="D46" s="733">
        <v>2707366.3059999999</v>
      </c>
      <c r="E46" s="734"/>
      <c r="F46" s="733">
        <v>3152231.2790000001</v>
      </c>
      <c r="G46" s="734"/>
      <c r="H46" s="733">
        <v>2295905.6269999999</v>
      </c>
      <c r="I46" s="734"/>
      <c r="J46" s="344">
        <f t="shared" si="11"/>
        <v>10100585.536</v>
      </c>
    </row>
    <row r="47" spans="1:10" ht="12.75" customHeight="1" x14ac:dyDescent="0.2">
      <c r="A47" s="731">
        <v>41913</v>
      </c>
      <c r="B47" s="732"/>
      <c r="C47" s="347">
        <v>2046614.676</v>
      </c>
      <c r="D47" s="733">
        <v>2862813.63</v>
      </c>
      <c r="E47" s="734"/>
      <c r="F47" s="733">
        <v>3314453.8709999998</v>
      </c>
      <c r="G47" s="734"/>
      <c r="H47" s="733">
        <v>2441500.2050000001</v>
      </c>
      <c r="I47" s="734"/>
      <c r="J47" s="344">
        <f t="shared" si="11"/>
        <v>10665382.381999999</v>
      </c>
    </row>
    <row r="48" spans="1:10" ht="12.75" customHeight="1" x14ac:dyDescent="0.2">
      <c r="A48" s="731">
        <v>41944</v>
      </c>
      <c r="B48" s="732"/>
      <c r="C48" s="347">
        <v>1825174.4750000001</v>
      </c>
      <c r="D48" s="733">
        <v>2611231.932</v>
      </c>
      <c r="E48" s="734"/>
      <c r="F48" s="733">
        <v>3047210.892</v>
      </c>
      <c r="G48" s="734"/>
      <c r="H48" s="733">
        <v>2220079.4530000002</v>
      </c>
      <c r="I48" s="734"/>
      <c r="J48" s="344">
        <f t="shared" si="11"/>
        <v>9703696.7520000003</v>
      </c>
    </row>
    <row r="49" spans="1:10" ht="12.75" customHeight="1" x14ac:dyDescent="0.2">
      <c r="A49" s="731">
        <v>41974</v>
      </c>
      <c r="B49" s="732"/>
      <c r="C49" s="347">
        <v>1897724.834</v>
      </c>
      <c r="D49" s="733">
        <v>2738071.6549999998</v>
      </c>
      <c r="E49" s="734"/>
      <c r="F49" s="733">
        <v>3189592.15</v>
      </c>
      <c r="G49" s="734"/>
      <c r="H49" s="733">
        <v>2326932.4350000001</v>
      </c>
      <c r="I49" s="734"/>
      <c r="J49" s="344">
        <f t="shared" si="11"/>
        <v>10152321.074000001</v>
      </c>
    </row>
    <row r="50" spans="1:10" ht="12.75" customHeight="1" x14ac:dyDescent="0.2">
      <c r="A50" s="725" t="s">
        <v>3</v>
      </c>
      <c r="B50" s="726"/>
      <c r="C50" s="348">
        <f>SUM(C38:C49)</f>
        <v>22653912.469000001</v>
      </c>
      <c r="D50" s="727">
        <f>SUM(D38:D49)</f>
        <v>32307801.987000003</v>
      </c>
      <c r="E50" s="728"/>
      <c r="F50" s="727">
        <f>SUM(F38:F49)</f>
        <v>36919292.990000002</v>
      </c>
      <c r="G50" s="728"/>
      <c r="H50" s="727">
        <f>SUM(H38:H49)</f>
        <v>26949974.155000005</v>
      </c>
      <c r="I50" s="728"/>
      <c r="J50" s="345">
        <f t="shared" si="11"/>
        <v>118830981.60100001</v>
      </c>
    </row>
  </sheetData>
  <sheetProtection password="DB60" sheet="1" objects="1" scenarios="1"/>
  <mergeCells count="121">
    <mergeCell ref="F4:G4"/>
    <mergeCell ref="H4:I4"/>
    <mergeCell ref="D4:E4"/>
    <mergeCell ref="A16:B16"/>
    <mergeCell ref="A17:B17"/>
    <mergeCell ref="A24:B24"/>
    <mergeCell ref="A25:B25"/>
    <mergeCell ref="A26:B26"/>
    <mergeCell ref="A27:B27"/>
    <mergeCell ref="A28:B28"/>
    <mergeCell ref="A18:B18"/>
    <mergeCell ref="A19:B19"/>
    <mergeCell ref="A20:B20"/>
    <mergeCell ref="A22:B22"/>
    <mergeCell ref="A23:B23"/>
    <mergeCell ref="D25:E25"/>
    <mergeCell ref="F25:G25"/>
    <mergeCell ref="H25:I25"/>
    <mergeCell ref="D26:E26"/>
    <mergeCell ref="F26:G26"/>
    <mergeCell ref="A29:B29"/>
    <mergeCell ref="A30:B30"/>
    <mergeCell ref="A31:B31"/>
    <mergeCell ref="A32:B32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H26:I26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D30:E30"/>
    <mergeCell ref="F30:G30"/>
    <mergeCell ref="H30:I30"/>
    <mergeCell ref="D35:E35"/>
    <mergeCell ref="F35:G35"/>
    <mergeCell ref="H35:I35"/>
    <mergeCell ref="A37:B37"/>
    <mergeCell ref="D37:E37"/>
    <mergeCell ref="F37:G37"/>
    <mergeCell ref="H37:I37"/>
    <mergeCell ref="D33:E33"/>
    <mergeCell ref="F33:G33"/>
    <mergeCell ref="H33:I33"/>
    <mergeCell ref="D34:E34"/>
    <mergeCell ref="F34:G34"/>
    <mergeCell ref="H34:I34"/>
    <mergeCell ref="A34:B34"/>
    <mergeCell ref="A35:B35"/>
    <mergeCell ref="A33:B33"/>
    <mergeCell ref="D31:E31"/>
    <mergeCell ref="F31:G31"/>
    <mergeCell ref="H31:I31"/>
    <mergeCell ref="D32:E32"/>
    <mergeCell ref="F32:G32"/>
    <mergeCell ref="H32:I32"/>
    <mergeCell ref="A40:B40"/>
    <mergeCell ref="D40:E40"/>
    <mergeCell ref="F40:G40"/>
    <mergeCell ref="H40:I40"/>
    <mergeCell ref="A41:B41"/>
    <mergeCell ref="D41:E41"/>
    <mergeCell ref="F41:G41"/>
    <mergeCell ref="H41:I41"/>
    <mergeCell ref="A38:B38"/>
    <mergeCell ref="D38:E38"/>
    <mergeCell ref="F38:G38"/>
    <mergeCell ref="H38:I38"/>
    <mergeCell ref="A39:B39"/>
    <mergeCell ref="D39:E39"/>
    <mergeCell ref="F39:G39"/>
    <mergeCell ref="H39:I39"/>
    <mergeCell ref="H44:I44"/>
    <mergeCell ref="A45:B45"/>
    <mergeCell ref="D45:E45"/>
    <mergeCell ref="F45:G45"/>
    <mergeCell ref="H45:I45"/>
    <mergeCell ref="A42:B42"/>
    <mergeCell ref="D42:E42"/>
    <mergeCell ref="F42:G42"/>
    <mergeCell ref="H42:I42"/>
    <mergeCell ref="A43:B43"/>
    <mergeCell ref="D43:E43"/>
    <mergeCell ref="F43:G43"/>
    <mergeCell ref="H43:I43"/>
    <mergeCell ref="A50:B50"/>
    <mergeCell ref="D50:E50"/>
    <mergeCell ref="F50:G50"/>
    <mergeCell ref="H50:I50"/>
    <mergeCell ref="A4:B4"/>
    <mergeCell ref="A48:B48"/>
    <mergeCell ref="D48:E48"/>
    <mergeCell ref="F48:G48"/>
    <mergeCell ref="H48:I48"/>
    <mergeCell ref="A49:B49"/>
    <mergeCell ref="D49:E49"/>
    <mergeCell ref="F49:G49"/>
    <mergeCell ref="H49:I49"/>
    <mergeCell ref="A46:B46"/>
    <mergeCell ref="D46:E46"/>
    <mergeCell ref="F46:G46"/>
    <mergeCell ref="H46:I46"/>
    <mergeCell ref="A47:B47"/>
    <mergeCell ref="D47:E47"/>
    <mergeCell ref="F47:G47"/>
    <mergeCell ref="H47:I47"/>
    <mergeCell ref="A44:B44"/>
    <mergeCell ref="D44:E44"/>
    <mergeCell ref="F44:G44"/>
  </mergeCells>
  <dataValidations count="1">
    <dataValidation type="decimal" allowBlank="1" showInputMessage="1" showErrorMessage="1" sqref="B5:B6">
      <formula1>2.0943</formula1>
      <formula2>2.5597</formula2>
    </dataValidation>
  </dataValidations>
  <printOptions horizontalCentered="1"/>
  <pageMargins left="0.19685039370078741" right="0.19685039370078741" top="0.23622047244094491" bottom="0.27559055118110237" header="0.19685039370078741" footer="0.19685039370078741"/>
  <pageSetup paperSize="9" scale="78" orientation="landscape" useFirstPageNumber="1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opLeftCell="A58" zoomScale="90" zoomScaleNormal="90" zoomScaleSheetLayoutView="90" workbookViewId="0">
      <selection activeCell="C70" sqref="C70"/>
    </sheetView>
  </sheetViews>
  <sheetFormatPr defaultRowHeight="12.75" x14ac:dyDescent="0.2"/>
  <cols>
    <col min="1" max="1" width="47.5703125" bestFit="1" customWidth="1"/>
    <col min="2" max="2" width="15.140625" customWidth="1"/>
    <col min="3" max="3" width="16.28515625" bestFit="1" customWidth="1"/>
    <col min="4" max="4" width="15.7109375" bestFit="1" customWidth="1"/>
    <col min="5" max="5" width="19.5703125" bestFit="1" customWidth="1"/>
    <col min="6" max="6" width="11.5703125" bestFit="1" customWidth="1"/>
    <col min="7" max="7" width="14.7109375" customWidth="1"/>
    <col min="8" max="8" width="13.5703125" bestFit="1" customWidth="1"/>
  </cols>
  <sheetData>
    <row r="1" spans="1:9" ht="15.75" x14ac:dyDescent="0.2">
      <c r="A1" s="128" t="s">
        <v>385</v>
      </c>
      <c r="B1" s="93"/>
      <c r="C1" s="93"/>
      <c r="D1" s="93"/>
    </row>
    <row r="3" spans="1:9" ht="15.75" x14ac:dyDescent="0.2">
      <c r="A3" s="116" t="s">
        <v>321</v>
      </c>
      <c r="B3" s="117"/>
      <c r="C3" s="118"/>
      <c r="D3" s="118"/>
      <c r="E3" s="117"/>
      <c r="F3" s="119"/>
      <c r="G3" s="119"/>
      <c r="H3" s="119"/>
      <c r="I3" s="119"/>
    </row>
    <row r="4" spans="1:9" x14ac:dyDescent="0.2">
      <c r="A4" s="119"/>
      <c r="B4" s="117"/>
      <c r="C4" s="118"/>
      <c r="D4" s="118"/>
      <c r="E4" s="117"/>
      <c r="F4" s="119"/>
      <c r="G4" s="119"/>
      <c r="H4" s="119"/>
      <c r="I4" s="119"/>
    </row>
    <row r="5" spans="1:9" x14ac:dyDescent="0.2">
      <c r="A5" s="120" t="s">
        <v>322</v>
      </c>
      <c r="B5" s="121" t="s">
        <v>323</v>
      </c>
      <c r="C5" s="121" t="s">
        <v>324</v>
      </c>
      <c r="D5" s="121" t="s">
        <v>325</v>
      </c>
      <c r="E5" s="121" t="s">
        <v>326</v>
      </c>
      <c r="F5" s="122" t="s">
        <v>327</v>
      </c>
      <c r="G5" s="121" t="s">
        <v>379</v>
      </c>
      <c r="H5" s="123" t="s">
        <v>380</v>
      </c>
      <c r="I5" s="119"/>
    </row>
    <row r="6" spans="1:9" x14ac:dyDescent="0.2">
      <c r="A6" s="242" t="s">
        <v>328</v>
      </c>
      <c r="B6" s="243"/>
      <c r="C6" s="243"/>
      <c r="D6" s="244"/>
      <c r="E6" s="244"/>
      <c r="F6" s="243"/>
      <c r="G6" s="243"/>
      <c r="H6" s="245"/>
      <c r="I6" s="119"/>
    </row>
    <row r="7" spans="1:9" x14ac:dyDescent="0.2">
      <c r="A7" s="308" t="s">
        <v>350</v>
      </c>
      <c r="B7" s="309"/>
      <c r="C7" s="309" t="s">
        <v>353</v>
      </c>
      <c r="D7" s="310">
        <v>104047.5</v>
      </c>
      <c r="E7" s="311">
        <v>104741.15</v>
      </c>
      <c r="F7" s="244">
        <f>IF(C7="SIM",'01 Preços'!$B$10,0)</f>
        <v>0</v>
      </c>
      <c r="G7" s="129">
        <f>SUM(D7:F7)</f>
        <v>208788.65</v>
      </c>
      <c r="H7" s="130">
        <f>B7*G7</f>
        <v>0</v>
      </c>
      <c r="I7" s="119"/>
    </row>
    <row r="8" spans="1:9" x14ac:dyDescent="0.2">
      <c r="A8" s="308" t="s">
        <v>351</v>
      </c>
      <c r="B8" s="309"/>
      <c r="C8" s="309" t="s">
        <v>353</v>
      </c>
      <c r="D8" s="310">
        <v>211103.592</v>
      </c>
      <c r="E8" s="311">
        <v>155318.40000000002</v>
      </c>
      <c r="F8" s="244">
        <f>IF(C8="SIM",'01 Preços'!$B$10,0)</f>
        <v>0</v>
      </c>
      <c r="G8" s="129">
        <f t="shared" ref="G8:G14" si="0">SUM(D8:F8)</f>
        <v>366421.99200000003</v>
      </c>
      <c r="H8" s="130">
        <f>B8*G8</f>
        <v>0</v>
      </c>
      <c r="I8" s="119"/>
    </row>
    <row r="9" spans="1:9" x14ac:dyDescent="0.2">
      <c r="A9" s="308" t="s">
        <v>351</v>
      </c>
      <c r="B9" s="309"/>
      <c r="C9" s="309" t="s">
        <v>354</v>
      </c>
      <c r="D9" s="310">
        <v>211103.592</v>
      </c>
      <c r="E9" s="311">
        <v>155318.40000000002</v>
      </c>
      <c r="F9" s="244">
        <f>IF(C9="SIM",'01 Preços'!$B$10,0)</f>
        <v>42709.700000000004</v>
      </c>
      <c r="G9" s="129">
        <f t="shared" si="0"/>
        <v>409131.69200000004</v>
      </c>
      <c r="H9" s="130">
        <f t="shared" ref="H9" si="1">B9*G9</f>
        <v>0</v>
      </c>
      <c r="I9" s="119"/>
    </row>
    <row r="10" spans="1:9" x14ac:dyDescent="0.2">
      <c r="A10" s="308" t="s">
        <v>352</v>
      </c>
      <c r="B10" s="309">
        <v>3</v>
      </c>
      <c r="C10" s="309" t="s">
        <v>354</v>
      </c>
      <c r="D10" s="310">
        <v>232907.8</v>
      </c>
      <c r="E10" s="311">
        <v>251260.345</v>
      </c>
      <c r="F10" s="244">
        <f>IF(C10="SIM",'01 Preços'!$B$10,0)</f>
        <v>42709.700000000004</v>
      </c>
      <c r="G10" s="129">
        <f t="shared" si="0"/>
        <v>526877.84499999997</v>
      </c>
      <c r="H10" s="130">
        <f>B10*G10</f>
        <v>1580633.5349999999</v>
      </c>
      <c r="I10" s="119"/>
    </row>
    <row r="11" spans="1:9" x14ac:dyDescent="0.2">
      <c r="A11" s="308"/>
      <c r="B11" s="308"/>
      <c r="C11" s="308"/>
      <c r="D11" s="312"/>
      <c r="E11" s="313"/>
      <c r="F11" s="244">
        <f>IF(C11="SIM",'01 Preços'!$B$10,0)</f>
        <v>0</v>
      </c>
      <c r="G11" s="129">
        <f t="shared" si="0"/>
        <v>0</v>
      </c>
      <c r="H11" s="130">
        <f t="shared" ref="H11:H12" si="2">B11*G11</f>
        <v>0</v>
      </c>
      <c r="I11" s="119"/>
    </row>
    <row r="12" spans="1:9" x14ac:dyDescent="0.2">
      <c r="A12" s="308"/>
      <c r="B12" s="308"/>
      <c r="C12" s="308"/>
      <c r="D12" s="312"/>
      <c r="E12" s="313"/>
      <c r="F12" s="244">
        <f>IF(C12="SIM",'01 Preços'!$B$10,0)</f>
        <v>0</v>
      </c>
      <c r="G12" s="129">
        <f t="shared" si="0"/>
        <v>0</v>
      </c>
      <c r="H12" s="130">
        <f t="shared" si="2"/>
        <v>0</v>
      </c>
      <c r="I12" s="119"/>
    </row>
    <row r="13" spans="1:9" x14ac:dyDescent="0.2">
      <c r="A13" s="314"/>
      <c r="B13" s="315"/>
      <c r="C13" s="316"/>
      <c r="D13" s="310"/>
      <c r="E13" s="311"/>
      <c r="F13" s="244">
        <f>IF(C13="SIM",'01 Preços'!$B$10,0)</f>
        <v>0</v>
      </c>
      <c r="G13" s="129">
        <f t="shared" si="0"/>
        <v>0</v>
      </c>
      <c r="H13" s="130">
        <f>B13*G13</f>
        <v>0</v>
      </c>
      <c r="I13" s="119"/>
    </row>
    <row r="14" spans="1:9" x14ac:dyDescent="0.2">
      <c r="A14" s="317"/>
      <c r="B14" s="318"/>
      <c r="C14" s="319"/>
      <c r="D14" s="320"/>
      <c r="E14" s="321"/>
      <c r="F14" s="246">
        <f>IF(C14="SIM",'01 Preços'!$B$10,0)</f>
        <v>0</v>
      </c>
      <c r="G14" s="133">
        <f t="shared" si="0"/>
        <v>0</v>
      </c>
      <c r="H14" s="130">
        <f>B14*G14</f>
        <v>0</v>
      </c>
      <c r="I14" s="119"/>
    </row>
    <row r="15" spans="1:9" x14ac:dyDescent="0.2">
      <c r="A15" s="247" t="s">
        <v>381</v>
      </c>
      <c r="B15" s="138">
        <f>SUM(B7:B14)</f>
        <v>3</v>
      </c>
      <c r="C15" s="248"/>
      <c r="D15" s="249"/>
      <c r="E15" s="249"/>
      <c r="F15" s="246"/>
      <c r="G15" s="151"/>
      <c r="H15" s="131">
        <f>IF(B15=0,0,SUM(H7:H14)/B15)</f>
        <v>526877.84499999997</v>
      </c>
      <c r="I15" s="119"/>
    </row>
    <row r="16" spans="1:9" x14ac:dyDescent="0.2">
      <c r="A16" s="242" t="s">
        <v>286</v>
      </c>
      <c r="B16" s="250"/>
      <c r="C16" s="243"/>
      <c r="D16" s="251"/>
      <c r="E16" s="251"/>
      <c r="F16" s="244"/>
      <c r="G16" s="251"/>
      <c r="H16" s="252"/>
      <c r="I16" s="119"/>
    </row>
    <row r="17" spans="1:9" x14ac:dyDescent="0.2">
      <c r="A17" s="308" t="s">
        <v>355</v>
      </c>
      <c r="B17" s="309">
        <v>35</v>
      </c>
      <c r="C17" s="309" t="s">
        <v>354</v>
      </c>
      <c r="D17" s="310">
        <v>251517</v>
      </c>
      <c r="E17" s="311">
        <v>185676.4</v>
      </c>
      <c r="F17" s="244">
        <f>IF(C17="SIM",'01 Preços'!$B$10,0)</f>
        <v>42709.700000000004</v>
      </c>
      <c r="G17" s="129">
        <f>SUM(D17:F17)</f>
        <v>479903.10000000003</v>
      </c>
      <c r="H17" s="130">
        <f t="shared" ref="H17:H36" si="3">B17*G17</f>
        <v>16796608.5</v>
      </c>
      <c r="I17" s="119"/>
    </row>
    <row r="18" spans="1:9" x14ac:dyDescent="0.2">
      <c r="A18" s="308" t="s">
        <v>356</v>
      </c>
      <c r="B18" s="309">
        <v>71</v>
      </c>
      <c r="C18" s="309" t="s">
        <v>354</v>
      </c>
      <c r="D18" s="310">
        <v>251517</v>
      </c>
      <c r="E18" s="311">
        <v>185676.4</v>
      </c>
      <c r="F18" s="244">
        <f>IF(C18="SIM",'01 Preços'!$B$10,0)</f>
        <v>42709.700000000004</v>
      </c>
      <c r="G18" s="129">
        <f t="shared" ref="G18:G36" si="4">SUM(D18:F18)</f>
        <v>479903.10000000003</v>
      </c>
      <c r="H18" s="130">
        <f t="shared" si="3"/>
        <v>34073120.100000001</v>
      </c>
      <c r="I18" s="119"/>
    </row>
    <row r="19" spans="1:9" x14ac:dyDescent="0.2">
      <c r="A19" s="308" t="s">
        <v>357</v>
      </c>
      <c r="B19" s="309"/>
      <c r="C19" s="309" t="s">
        <v>353</v>
      </c>
      <c r="D19" s="310">
        <v>124785</v>
      </c>
      <c r="E19" s="311">
        <v>121572</v>
      </c>
      <c r="F19" s="244">
        <f>IF(C19="SIM",'01 Preços'!$B$10,0)</f>
        <v>0</v>
      </c>
      <c r="G19" s="129">
        <f t="shared" si="4"/>
        <v>246357</v>
      </c>
      <c r="H19" s="130">
        <f t="shared" si="3"/>
        <v>0</v>
      </c>
      <c r="I19" s="119"/>
    </row>
    <row r="20" spans="1:9" x14ac:dyDescent="0.2">
      <c r="A20" s="308" t="s">
        <v>358</v>
      </c>
      <c r="B20" s="309">
        <v>37</v>
      </c>
      <c r="C20" s="309" t="s">
        <v>354</v>
      </c>
      <c r="D20" s="310">
        <v>380446.12636141083</v>
      </c>
      <c r="E20" s="311">
        <v>251833.87363858923</v>
      </c>
      <c r="F20" s="244">
        <f>IF(C20="SIM",'01 Preços'!$B$10,0)</f>
        <v>42709.700000000004</v>
      </c>
      <c r="G20" s="129">
        <f t="shared" si="4"/>
        <v>674989.7</v>
      </c>
      <c r="H20" s="130">
        <f t="shared" si="3"/>
        <v>24974618.899999999</v>
      </c>
      <c r="I20" s="119"/>
    </row>
    <row r="21" spans="1:9" x14ac:dyDescent="0.2">
      <c r="A21" s="308" t="s">
        <v>359</v>
      </c>
      <c r="B21" s="309"/>
      <c r="C21" s="309" t="s">
        <v>353</v>
      </c>
      <c r="D21" s="310">
        <v>205202</v>
      </c>
      <c r="E21" s="311">
        <v>183556.8</v>
      </c>
      <c r="F21" s="244">
        <f>IF(C21="SIM",'01 Preços'!$B$10,0)</f>
        <v>0</v>
      </c>
      <c r="G21" s="129">
        <f t="shared" si="4"/>
        <v>388758.8</v>
      </c>
      <c r="H21" s="130">
        <f t="shared" si="3"/>
        <v>0</v>
      </c>
      <c r="I21" s="119"/>
    </row>
    <row r="22" spans="1:9" x14ac:dyDescent="0.2">
      <c r="A22" s="308" t="s">
        <v>359</v>
      </c>
      <c r="B22" s="309"/>
      <c r="C22" s="309" t="s">
        <v>354</v>
      </c>
      <c r="D22" s="310">
        <v>205202</v>
      </c>
      <c r="E22" s="311">
        <v>183556.8</v>
      </c>
      <c r="F22" s="244">
        <f>IF(C22="SIM",'01 Preços'!$B$10,0)</f>
        <v>42709.700000000004</v>
      </c>
      <c r="G22" s="129">
        <f t="shared" si="4"/>
        <v>431468.5</v>
      </c>
      <c r="H22" s="130">
        <f t="shared" si="3"/>
        <v>0</v>
      </c>
      <c r="I22" s="119"/>
    </row>
    <row r="23" spans="1:9" x14ac:dyDescent="0.2">
      <c r="A23" s="308" t="s">
        <v>360</v>
      </c>
      <c r="B23" s="309"/>
      <c r="C23" s="309" t="s">
        <v>353</v>
      </c>
      <c r="D23" s="310">
        <v>231502.8</v>
      </c>
      <c r="E23" s="311">
        <v>154035.6</v>
      </c>
      <c r="F23" s="244">
        <f>IF(C23="SIM",'01 Preços'!$B$10,0)</f>
        <v>0</v>
      </c>
      <c r="G23" s="129">
        <f t="shared" si="4"/>
        <v>385538.4</v>
      </c>
      <c r="H23" s="130">
        <f t="shared" si="3"/>
        <v>0</v>
      </c>
      <c r="I23" s="119"/>
    </row>
    <row r="24" spans="1:9" x14ac:dyDescent="0.2">
      <c r="A24" s="308" t="s">
        <v>360</v>
      </c>
      <c r="B24" s="309">
        <v>17</v>
      </c>
      <c r="C24" s="309" t="s">
        <v>354</v>
      </c>
      <c r="D24" s="310">
        <v>231502.8</v>
      </c>
      <c r="E24" s="311">
        <v>154035.6</v>
      </c>
      <c r="F24" s="244">
        <f>IF(C24="SIM",'01 Preços'!$B$10,0)</f>
        <v>42709.700000000004</v>
      </c>
      <c r="G24" s="129">
        <f t="shared" si="4"/>
        <v>428248.10000000003</v>
      </c>
      <c r="H24" s="130">
        <f t="shared" si="3"/>
        <v>7280217.7000000002</v>
      </c>
      <c r="I24" s="119"/>
    </row>
    <row r="25" spans="1:9" x14ac:dyDescent="0.2">
      <c r="A25" s="308" t="s">
        <v>361</v>
      </c>
      <c r="B25" s="309"/>
      <c r="C25" s="309" t="s">
        <v>353</v>
      </c>
      <c r="D25" s="310">
        <v>273701.17499999999</v>
      </c>
      <c r="E25" s="311">
        <v>235281.75</v>
      </c>
      <c r="F25" s="244">
        <f>IF(C25="SIM",'01 Preços'!$B$10,0)</f>
        <v>0</v>
      </c>
      <c r="G25" s="129">
        <f t="shared" si="4"/>
        <v>508982.92499999999</v>
      </c>
      <c r="H25" s="130">
        <f t="shared" si="3"/>
        <v>0</v>
      </c>
      <c r="I25" s="119"/>
    </row>
    <row r="26" spans="1:9" x14ac:dyDescent="0.2">
      <c r="A26" s="308" t="s">
        <v>361</v>
      </c>
      <c r="B26" s="309"/>
      <c r="C26" s="309" t="s">
        <v>354</v>
      </c>
      <c r="D26" s="310">
        <v>273701.17499999999</v>
      </c>
      <c r="E26" s="311">
        <v>235281.75</v>
      </c>
      <c r="F26" s="244">
        <f>IF(C26="SIM",'01 Preços'!$B$10,0)</f>
        <v>42709.700000000004</v>
      </c>
      <c r="G26" s="129">
        <f t="shared" si="4"/>
        <v>551692.625</v>
      </c>
      <c r="H26" s="130">
        <f t="shared" si="3"/>
        <v>0</v>
      </c>
      <c r="I26" s="119"/>
    </row>
    <row r="27" spans="1:9" x14ac:dyDescent="0.2">
      <c r="A27" s="308" t="s">
        <v>362</v>
      </c>
      <c r="B27" s="309">
        <v>35</v>
      </c>
      <c r="C27" s="309" t="s">
        <v>353</v>
      </c>
      <c r="D27" s="310">
        <v>179042.4</v>
      </c>
      <c r="E27" s="311">
        <v>130213.9</v>
      </c>
      <c r="F27" s="244">
        <f>IF(C27="SIM",'01 Preços'!$B$10,0)</f>
        <v>0</v>
      </c>
      <c r="G27" s="129">
        <f t="shared" si="4"/>
        <v>309256.3</v>
      </c>
      <c r="H27" s="130">
        <f t="shared" si="3"/>
        <v>10823970.5</v>
      </c>
      <c r="I27" s="119"/>
    </row>
    <row r="28" spans="1:9" x14ac:dyDescent="0.2">
      <c r="A28" s="308" t="s">
        <v>362</v>
      </c>
      <c r="B28" s="309"/>
      <c r="C28" s="309" t="s">
        <v>354</v>
      </c>
      <c r="D28" s="310">
        <v>179042.4</v>
      </c>
      <c r="E28" s="311">
        <v>130213.9</v>
      </c>
      <c r="F28" s="244">
        <f>IF(C28="SIM",'01 Preços'!$B$10,0)</f>
        <v>42709.700000000004</v>
      </c>
      <c r="G28" s="129">
        <f t="shared" si="4"/>
        <v>351966</v>
      </c>
      <c r="H28" s="130">
        <f t="shared" si="3"/>
        <v>0</v>
      </c>
      <c r="I28" s="119"/>
    </row>
    <row r="29" spans="1:9" x14ac:dyDescent="0.2">
      <c r="A29" s="308" t="s">
        <v>363</v>
      </c>
      <c r="B29" s="309"/>
      <c r="C29" s="309" t="s">
        <v>353</v>
      </c>
      <c r="D29" s="310">
        <v>175253.6</v>
      </c>
      <c r="E29" s="311">
        <v>135939.6</v>
      </c>
      <c r="F29" s="244">
        <f>IF(C29="SIM",'01 Preços'!$B$10,0)</f>
        <v>0</v>
      </c>
      <c r="G29" s="129">
        <f t="shared" si="4"/>
        <v>311193.2</v>
      </c>
      <c r="H29" s="130">
        <f t="shared" si="3"/>
        <v>0</v>
      </c>
      <c r="I29" s="119"/>
    </row>
    <row r="30" spans="1:9" x14ac:dyDescent="0.2">
      <c r="A30" s="314" t="s">
        <v>364</v>
      </c>
      <c r="B30" s="315"/>
      <c r="C30" s="316" t="s">
        <v>353</v>
      </c>
      <c r="D30" s="310">
        <v>199320</v>
      </c>
      <c r="E30" s="311">
        <v>138920</v>
      </c>
      <c r="F30" s="244">
        <f>IF(C30="SIM",'01 Preços'!$B$10,0)</f>
        <v>0</v>
      </c>
      <c r="G30" s="129">
        <f t="shared" si="4"/>
        <v>338240</v>
      </c>
      <c r="H30" s="130">
        <f t="shared" si="3"/>
        <v>0</v>
      </c>
      <c r="I30" s="119"/>
    </row>
    <row r="31" spans="1:9" x14ac:dyDescent="0.2">
      <c r="A31" s="314" t="s">
        <v>365</v>
      </c>
      <c r="B31" s="315">
        <v>30</v>
      </c>
      <c r="C31" s="316" t="s">
        <v>353</v>
      </c>
      <c r="D31" s="310">
        <v>164031</v>
      </c>
      <c r="E31" s="311">
        <v>124179.9</v>
      </c>
      <c r="F31" s="244">
        <f>IF(C31="SIM",'01 Preços'!$B$10,0)</f>
        <v>0</v>
      </c>
      <c r="G31" s="129">
        <f t="shared" si="4"/>
        <v>288210.90000000002</v>
      </c>
      <c r="H31" s="130">
        <f t="shared" si="3"/>
        <v>8646327</v>
      </c>
      <c r="I31" s="119"/>
    </row>
    <row r="32" spans="1:9" x14ac:dyDescent="0.2">
      <c r="A32" s="314" t="s">
        <v>366</v>
      </c>
      <c r="B32" s="315">
        <v>49</v>
      </c>
      <c r="C32" s="316" t="s">
        <v>353</v>
      </c>
      <c r="D32" s="310">
        <v>289704.78999999998</v>
      </c>
      <c r="E32" s="311">
        <v>207089.94921799997</v>
      </c>
      <c r="F32" s="244">
        <f>IF(C32="SIM",'01 Preços'!$B$10,0)</f>
        <v>0</v>
      </c>
      <c r="G32" s="129">
        <f t="shared" si="4"/>
        <v>496794.73921799997</v>
      </c>
      <c r="H32" s="130">
        <f t="shared" si="3"/>
        <v>24342942.221681997</v>
      </c>
      <c r="I32" s="119"/>
    </row>
    <row r="33" spans="1:9" x14ac:dyDescent="0.2">
      <c r="A33" s="314" t="s">
        <v>366</v>
      </c>
      <c r="B33" s="315"/>
      <c r="C33" s="309" t="s">
        <v>354</v>
      </c>
      <c r="D33" s="310">
        <v>289704.78999999998</v>
      </c>
      <c r="E33" s="311">
        <v>207089.94921799997</v>
      </c>
      <c r="F33" s="244">
        <f>IF(C33="SIM",'01 Preços'!$B$10,0)</f>
        <v>42709.700000000004</v>
      </c>
      <c r="G33" s="129">
        <f t="shared" si="4"/>
        <v>539504.43921799993</v>
      </c>
      <c r="H33" s="130">
        <f t="shared" si="3"/>
        <v>0</v>
      </c>
      <c r="I33" s="119"/>
    </row>
    <row r="34" spans="1:9" x14ac:dyDescent="0.2">
      <c r="A34" s="314" t="s">
        <v>367</v>
      </c>
      <c r="B34" s="315"/>
      <c r="C34" s="309" t="s">
        <v>354</v>
      </c>
      <c r="D34" s="310">
        <v>195069.75</v>
      </c>
      <c r="E34" s="311">
        <v>213694.5</v>
      </c>
      <c r="F34" s="244">
        <f>IF(C34="SIM",'01 Preços'!$B$10,0)</f>
        <v>42709.700000000004</v>
      </c>
      <c r="G34" s="129">
        <f t="shared" si="4"/>
        <v>451473.95</v>
      </c>
      <c r="H34" s="130">
        <f t="shared" si="3"/>
        <v>0</v>
      </c>
      <c r="I34" s="119"/>
    </row>
    <row r="35" spans="1:9" x14ac:dyDescent="0.2">
      <c r="A35" s="314"/>
      <c r="B35" s="315"/>
      <c r="C35" s="309"/>
      <c r="D35" s="310"/>
      <c r="E35" s="311"/>
      <c r="F35" s="244">
        <f>IF(C35="SIM",'01 Preços'!$B$10,0)</f>
        <v>0</v>
      </c>
      <c r="G35" s="129">
        <f t="shared" si="4"/>
        <v>0</v>
      </c>
      <c r="H35" s="130">
        <f t="shared" si="3"/>
        <v>0</v>
      </c>
      <c r="I35" s="119"/>
    </row>
    <row r="36" spans="1:9" x14ac:dyDescent="0.2">
      <c r="A36" s="322"/>
      <c r="B36" s="318"/>
      <c r="C36" s="319"/>
      <c r="D36" s="320"/>
      <c r="E36" s="321"/>
      <c r="F36" s="246">
        <f>IF(C36="SIM",'01 Preços'!$B$10,0)</f>
        <v>0</v>
      </c>
      <c r="G36" s="133">
        <f t="shared" si="4"/>
        <v>0</v>
      </c>
      <c r="H36" s="130">
        <f t="shared" si="3"/>
        <v>0</v>
      </c>
      <c r="I36" s="119"/>
    </row>
    <row r="37" spans="1:9" x14ac:dyDescent="0.2">
      <c r="A37" s="247" t="s">
        <v>382</v>
      </c>
      <c r="B37" s="138">
        <f>SUM(B17:B36)</f>
        <v>274</v>
      </c>
      <c r="C37" s="248"/>
      <c r="D37" s="249"/>
      <c r="E37" s="249"/>
      <c r="F37" s="246"/>
      <c r="G37" s="151"/>
      <c r="H37" s="131">
        <f>IF(B37=0,0,SUM(H17:H36)/B37)</f>
        <v>463276.66029810946</v>
      </c>
      <c r="I37" s="119"/>
    </row>
    <row r="38" spans="1:9" x14ac:dyDescent="0.2">
      <c r="A38" s="255" t="s">
        <v>329</v>
      </c>
      <c r="B38" s="256"/>
      <c r="C38" s="257"/>
      <c r="D38" s="253"/>
      <c r="E38" s="253"/>
      <c r="F38" s="253"/>
      <c r="G38" s="253"/>
      <c r="H38" s="254"/>
      <c r="I38" s="119"/>
    </row>
    <row r="39" spans="1:9" x14ac:dyDescent="0.2">
      <c r="A39" s="308"/>
      <c r="B39" s="315"/>
      <c r="C39" s="309"/>
      <c r="D39" s="310"/>
      <c r="E39" s="311"/>
      <c r="F39" s="244">
        <f>IF(C39="SIM",'01 Preços'!$B$10,0)</f>
        <v>0</v>
      </c>
      <c r="G39" s="129">
        <f>SUM(D39:F39)</f>
        <v>0</v>
      </c>
      <c r="H39" s="132">
        <f>B39*G39</f>
        <v>0</v>
      </c>
      <c r="I39" s="119"/>
    </row>
    <row r="40" spans="1:9" x14ac:dyDescent="0.2">
      <c r="A40" s="317"/>
      <c r="B40" s="318"/>
      <c r="C40" s="323"/>
      <c r="D40" s="320"/>
      <c r="E40" s="321"/>
      <c r="F40" s="246">
        <f>IF(C40="SIM",'01 Preços'!$B$10,0)</f>
        <v>0</v>
      </c>
      <c r="G40" s="133">
        <f>SUM(D40:F40)</f>
        <v>0</v>
      </c>
      <c r="H40" s="134">
        <f>B40*G40</f>
        <v>0</v>
      </c>
      <c r="I40" s="119"/>
    </row>
    <row r="41" spans="1:9" x14ac:dyDescent="0.2">
      <c r="A41" s="247" t="s">
        <v>383</v>
      </c>
      <c r="B41" s="138">
        <f>SUM(B39:B40)</f>
        <v>0</v>
      </c>
      <c r="C41" s="248"/>
      <c r="D41" s="249"/>
      <c r="E41" s="249"/>
      <c r="F41" s="246"/>
      <c r="G41" s="151"/>
      <c r="H41" s="131">
        <f>IF(B41=0,0,SUM(H39:H40+B41)/B41)</f>
        <v>0</v>
      </c>
      <c r="I41" s="119"/>
    </row>
    <row r="42" spans="1:9" x14ac:dyDescent="0.2">
      <c r="A42" s="242" t="s">
        <v>285</v>
      </c>
      <c r="B42" s="264"/>
      <c r="C42" s="243"/>
      <c r="D42" s="244"/>
      <c r="E42" s="244"/>
      <c r="F42" s="244"/>
      <c r="G42" s="244"/>
      <c r="H42" s="258"/>
      <c r="I42" s="119"/>
    </row>
    <row r="43" spans="1:9" x14ac:dyDescent="0.2">
      <c r="A43" s="308" t="s">
        <v>368</v>
      </c>
      <c r="B43" s="309">
        <v>15</v>
      </c>
      <c r="C43" s="309" t="s">
        <v>353</v>
      </c>
      <c r="D43" s="310">
        <v>482502</v>
      </c>
      <c r="E43" s="311">
        <v>275351.98</v>
      </c>
      <c r="F43" s="244">
        <f>IF(C43="SIM",'01 Preços'!$B$11,0)</f>
        <v>0</v>
      </c>
      <c r="G43" s="129">
        <f>SUM(D43:F43)</f>
        <v>757853.98</v>
      </c>
      <c r="H43" s="130">
        <f>B43*G43</f>
        <v>11367809.699999999</v>
      </c>
      <c r="I43" s="119"/>
    </row>
    <row r="44" spans="1:9" x14ac:dyDescent="0.2">
      <c r="A44" s="308" t="s">
        <v>368</v>
      </c>
      <c r="B44" s="309">
        <v>45</v>
      </c>
      <c r="C44" s="309" t="s">
        <v>354</v>
      </c>
      <c r="D44" s="310">
        <v>482502</v>
      </c>
      <c r="E44" s="311">
        <v>275351.98</v>
      </c>
      <c r="F44" s="244">
        <f>IF(C44="SIM",'01 Preços'!$B$11,0)</f>
        <v>80210.900000000009</v>
      </c>
      <c r="G44" s="129">
        <f t="shared" ref="G44:G54" si="5">SUM(D44:F44)</f>
        <v>838064.88</v>
      </c>
      <c r="H44" s="130">
        <f t="shared" ref="H44:H53" si="6">B44*G44</f>
        <v>37712919.600000001</v>
      </c>
      <c r="I44" s="119"/>
    </row>
    <row r="45" spans="1:9" x14ac:dyDescent="0.2">
      <c r="A45" s="308" t="s">
        <v>369</v>
      </c>
      <c r="B45" s="309">
        <v>15</v>
      </c>
      <c r="C45" s="309" t="s">
        <v>353</v>
      </c>
      <c r="D45" s="310">
        <v>415950</v>
      </c>
      <c r="E45" s="311">
        <v>228176</v>
      </c>
      <c r="F45" s="244">
        <f>IF(C45="SIM",'01 Preços'!$B$11,0)</f>
        <v>0</v>
      </c>
      <c r="G45" s="129">
        <f t="shared" si="5"/>
        <v>644126</v>
      </c>
      <c r="H45" s="130">
        <f t="shared" si="6"/>
        <v>9661890</v>
      </c>
      <c r="I45" s="119"/>
    </row>
    <row r="46" spans="1:9" x14ac:dyDescent="0.2">
      <c r="A46" s="308" t="s">
        <v>369</v>
      </c>
      <c r="B46" s="309"/>
      <c r="C46" s="309" t="s">
        <v>354</v>
      </c>
      <c r="D46" s="310">
        <v>415950</v>
      </c>
      <c r="E46" s="311">
        <v>228176</v>
      </c>
      <c r="F46" s="244">
        <f>IF(C46="SIM",'01 Preços'!$B$11,0)</f>
        <v>80210.900000000009</v>
      </c>
      <c r="G46" s="129">
        <f t="shared" si="5"/>
        <v>724336.9</v>
      </c>
      <c r="H46" s="130">
        <f t="shared" si="6"/>
        <v>0</v>
      </c>
      <c r="I46" s="119"/>
    </row>
    <row r="47" spans="1:9" x14ac:dyDescent="0.2">
      <c r="A47" s="308" t="s">
        <v>370</v>
      </c>
      <c r="B47" s="309"/>
      <c r="C47" s="309" t="s">
        <v>353</v>
      </c>
      <c r="D47" s="310">
        <v>293580</v>
      </c>
      <c r="E47" s="311">
        <v>237659.99999999997</v>
      </c>
      <c r="F47" s="244">
        <f>IF(C47="SIM",'01 Preços'!$B$11,0)</f>
        <v>0</v>
      </c>
      <c r="G47" s="129">
        <f t="shared" si="5"/>
        <v>531240</v>
      </c>
      <c r="H47" s="130">
        <f t="shared" si="6"/>
        <v>0</v>
      </c>
      <c r="I47" s="119"/>
    </row>
    <row r="48" spans="1:9" x14ac:dyDescent="0.2">
      <c r="A48" s="308" t="s">
        <v>371</v>
      </c>
      <c r="B48" s="309"/>
      <c r="C48" s="309" t="s">
        <v>353</v>
      </c>
      <c r="D48" s="310">
        <v>336600</v>
      </c>
      <c r="E48" s="311">
        <v>168300</v>
      </c>
      <c r="F48" s="244">
        <f>IF(C48="SIM",'01 Preços'!$B$11,0)</f>
        <v>0</v>
      </c>
      <c r="G48" s="129">
        <f t="shared" si="5"/>
        <v>504900</v>
      </c>
      <c r="H48" s="130">
        <f t="shared" si="6"/>
        <v>0</v>
      </c>
      <c r="I48" s="119"/>
    </row>
    <row r="49" spans="1:9" x14ac:dyDescent="0.2">
      <c r="A49" s="308" t="s">
        <v>372</v>
      </c>
      <c r="B49" s="309"/>
      <c r="C49" s="309" t="s">
        <v>354</v>
      </c>
      <c r="D49" s="310">
        <v>404646</v>
      </c>
      <c r="E49" s="311">
        <v>404646</v>
      </c>
      <c r="F49" s="244">
        <f>IF(C49="SIM",'01 Preços'!$B$11,0)</f>
        <v>80210.900000000009</v>
      </c>
      <c r="G49" s="129">
        <f t="shared" si="5"/>
        <v>889502.9</v>
      </c>
      <c r="H49" s="130">
        <f t="shared" si="6"/>
        <v>0</v>
      </c>
      <c r="I49" s="119"/>
    </row>
    <row r="50" spans="1:9" x14ac:dyDescent="0.2">
      <c r="A50" s="308" t="s">
        <v>373</v>
      </c>
      <c r="B50" s="309"/>
      <c r="C50" s="309" t="s">
        <v>354</v>
      </c>
      <c r="D50" s="310">
        <v>296184</v>
      </c>
      <c r="E50" s="311">
        <v>305420.19999999995</v>
      </c>
      <c r="F50" s="244">
        <f>IF(C50="SIM",'01 Preços'!$B$11,0)</f>
        <v>80210.900000000009</v>
      </c>
      <c r="G50" s="129">
        <f t="shared" si="5"/>
        <v>681815.1</v>
      </c>
      <c r="H50" s="130">
        <f t="shared" si="6"/>
        <v>0</v>
      </c>
      <c r="I50" s="119"/>
    </row>
    <row r="51" spans="1:9" x14ac:dyDescent="0.2">
      <c r="A51" s="308"/>
      <c r="B51" s="309"/>
      <c r="C51" s="309"/>
      <c r="D51" s="310"/>
      <c r="E51" s="311"/>
      <c r="F51" s="244">
        <f>IF(C51="SIM",'01 Preços'!$B$11,0)</f>
        <v>0</v>
      </c>
      <c r="G51" s="129">
        <f t="shared" si="5"/>
        <v>0</v>
      </c>
      <c r="H51" s="130">
        <f t="shared" si="6"/>
        <v>0</v>
      </c>
      <c r="I51" s="119"/>
    </row>
    <row r="52" spans="1:9" x14ac:dyDescent="0.2">
      <c r="A52" s="308"/>
      <c r="B52" s="309"/>
      <c r="C52" s="309"/>
      <c r="D52" s="310"/>
      <c r="E52" s="311"/>
      <c r="F52" s="244">
        <f>IF(C52="SIM",'01 Preços'!$B$11,0)</f>
        <v>0</v>
      </c>
      <c r="G52" s="129">
        <f t="shared" si="5"/>
        <v>0</v>
      </c>
      <c r="H52" s="130">
        <f t="shared" si="6"/>
        <v>0</v>
      </c>
      <c r="I52" s="119"/>
    </row>
    <row r="53" spans="1:9" x14ac:dyDescent="0.2">
      <c r="A53" s="308"/>
      <c r="B53" s="315"/>
      <c r="C53" s="309"/>
      <c r="D53" s="310"/>
      <c r="E53" s="311"/>
      <c r="F53" s="244">
        <f>IF(C53="SIM",'01 Preços'!$B$11,0)</f>
        <v>0</v>
      </c>
      <c r="G53" s="129">
        <f t="shared" si="5"/>
        <v>0</v>
      </c>
      <c r="H53" s="130">
        <f t="shared" si="6"/>
        <v>0</v>
      </c>
      <c r="I53" s="119"/>
    </row>
    <row r="54" spans="1:9" x14ac:dyDescent="0.2">
      <c r="A54" s="317"/>
      <c r="B54" s="324"/>
      <c r="C54" s="319"/>
      <c r="D54" s="320"/>
      <c r="E54" s="321"/>
      <c r="F54" s="246">
        <f>IF(C54="SIM",'01 Preços'!$B$11,0)</f>
        <v>0</v>
      </c>
      <c r="G54" s="133">
        <f t="shared" si="5"/>
        <v>0</v>
      </c>
      <c r="H54" s="130">
        <f>B54*G54</f>
        <v>0</v>
      </c>
      <c r="I54" s="119"/>
    </row>
    <row r="55" spans="1:9" x14ac:dyDescent="0.2">
      <c r="A55" s="247" t="s">
        <v>384</v>
      </c>
      <c r="B55" s="138">
        <f>SUM(B43:B54)</f>
        <v>75</v>
      </c>
      <c r="C55" s="248"/>
      <c r="D55" s="246"/>
      <c r="E55" s="246"/>
      <c r="F55" s="246"/>
      <c r="G55" s="259"/>
      <c r="H55" s="131">
        <f>IF(B55=0,0,SUM(H43:H54)/B55)</f>
        <v>783234.924</v>
      </c>
      <c r="I55" s="119"/>
    </row>
    <row r="56" spans="1:9" ht="13.5" thickBot="1" x14ac:dyDescent="0.25">
      <c r="A56" s="265"/>
      <c r="B56" s="266"/>
      <c r="C56" s="260"/>
      <c r="D56" s="260"/>
      <c r="E56" s="260"/>
      <c r="F56" s="260"/>
      <c r="G56" s="261"/>
      <c r="H56" s="261"/>
      <c r="I56" s="119"/>
    </row>
    <row r="57" spans="1:9" ht="13.5" thickBot="1" x14ac:dyDescent="0.25">
      <c r="A57" s="135" t="s">
        <v>374</v>
      </c>
      <c r="B57" s="136">
        <f>B55+B41+B37+B15</f>
        <v>352</v>
      </c>
      <c r="C57" s="262"/>
      <c r="D57" s="263"/>
      <c r="E57" s="263"/>
      <c r="F57" s="262"/>
      <c r="G57" s="263"/>
      <c r="H57" s="137">
        <f>((B15*H15+B37*H37+B41*H41+B55*H55)/B57)</f>
        <v>531991.64135421021</v>
      </c>
      <c r="I57" s="119"/>
    </row>
    <row r="58" spans="1:9" x14ac:dyDescent="0.2">
      <c r="A58" s="325"/>
      <c r="B58" s="326"/>
      <c r="C58" s="327"/>
      <c r="D58" s="327"/>
      <c r="E58" s="326"/>
      <c r="F58" s="325"/>
      <c r="G58" s="325"/>
      <c r="H58" s="328"/>
      <c r="I58" s="119"/>
    </row>
    <row r="59" spans="1:9" x14ac:dyDescent="0.2">
      <c r="A59" s="267" t="s">
        <v>330</v>
      </c>
      <c r="B59" s="329"/>
      <c r="C59" s="327"/>
      <c r="D59" s="327"/>
      <c r="E59" s="326"/>
      <c r="F59" s="325"/>
      <c r="G59" s="325"/>
      <c r="H59" s="328"/>
      <c r="I59" s="119"/>
    </row>
    <row r="60" spans="1:9" x14ac:dyDescent="0.2">
      <c r="A60" s="330"/>
      <c r="B60" s="330"/>
      <c r="C60" s="330"/>
      <c r="D60" s="330"/>
      <c r="E60" s="330"/>
      <c r="F60" s="330"/>
      <c r="G60" s="330"/>
      <c r="H60" s="328"/>
      <c r="I60" s="119"/>
    </row>
    <row r="61" spans="1:9" x14ac:dyDescent="0.2">
      <c r="A61" s="124" t="s">
        <v>331</v>
      </c>
      <c r="B61" s="122" t="s">
        <v>75</v>
      </c>
      <c r="C61" s="123" t="s">
        <v>344</v>
      </c>
      <c r="D61" s="328"/>
      <c r="E61" s="328"/>
      <c r="F61" s="105"/>
      <c r="G61" s="105"/>
      <c r="H61" s="105"/>
    </row>
    <row r="62" spans="1:9" x14ac:dyDescent="0.2">
      <c r="A62" s="139" t="s">
        <v>76</v>
      </c>
      <c r="B62" s="140">
        <v>0.5</v>
      </c>
      <c r="C62" s="354">
        <v>67</v>
      </c>
      <c r="D62" s="328"/>
      <c r="E62" s="328"/>
      <c r="F62" s="105"/>
      <c r="G62" s="105"/>
      <c r="H62" s="105"/>
    </row>
    <row r="63" spans="1:9" x14ac:dyDescent="0.2">
      <c r="A63" s="139" t="s">
        <v>77</v>
      </c>
      <c r="B63" s="140">
        <v>1.5</v>
      </c>
      <c r="C63" s="353">
        <v>2</v>
      </c>
      <c r="D63" s="328"/>
      <c r="E63" s="328"/>
      <c r="F63" s="105"/>
      <c r="G63" s="105"/>
      <c r="H63" s="105"/>
    </row>
    <row r="64" spans="1:9" x14ac:dyDescent="0.2">
      <c r="A64" s="139" t="s">
        <v>78</v>
      </c>
      <c r="B64" s="140">
        <v>2.5</v>
      </c>
      <c r="C64" s="353">
        <v>28</v>
      </c>
      <c r="D64" s="328"/>
      <c r="E64" s="328"/>
      <c r="F64" s="105"/>
      <c r="G64" s="105"/>
      <c r="H64" s="105"/>
    </row>
    <row r="65" spans="1:9" x14ac:dyDescent="0.2">
      <c r="A65" s="139" t="s">
        <v>79</v>
      </c>
      <c r="B65" s="140">
        <v>3.5</v>
      </c>
      <c r="C65" s="353">
        <v>0</v>
      </c>
      <c r="D65" s="328"/>
      <c r="E65" s="328"/>
      <c r="F65" s="105"/>
      <c r="G65" s="105"/>
      <c r="H65" s="105"/>
    </row>
    <row r="66" spans="1:9" x14ac:dyDescent="0.2">
      <c r="A66" s="139" t="s">
        <v>80</v>
      </c>
      <c r="B66" s="140">
        <v>4.5</v>
      </c>
      <c r="C66" s="353">
        <v>92</v>
      </c>
      <c r="D66" s="328"/>
      <c r="E66" s="328"/>
      <c r="F66" s="105"/>
      <c r="G66" s="105"/>
      <c r="H66" s="105"/>
    </row>
    <row r="67" spans="1:9" x14ac:dyDescent="0.2">
      <c r="A67" s="139" t="s">
        <v>81</v>
      </c>
      <c r="B67" s="140">
        <v>5.5</v>
      </c>
      <c r="C67" s="353">
        <v>31</v>
      </c>
      <c r="D67" s="328"/>
      <c r="E67" s="328"/>
      <c r="F67" s="105"/>
      <c r="G67" s="105"/>
      <c r="H67" s="105"/>
    </row>
    <row r="68" spans="1:9" x14ac:dyDescent="0.2">
      <c r="A68" s="139" t="s">
        <v>82</v>
      </c>
      <c r="B68" s="140">
        <v>6.5</v>
      </c>
      <c r="C68" s="353">
        <v>71</v>
      </c>
      <c r="D68" s="328"/>
      <c r="E68" s="328"/>
      <c r="F68" s="105"/>
      <c r="G68" s="105"/>
      <c r="H68" s="105"/>
    </row>
    <row r="69" spans="1:9" x14ac:dyDescent="0.2">
      <c r="A69" s="139" t="s">
        <v>83</v>
      </c>
      <c r="B69" s="140">
        <v>7.5</v>
      </c>
      <c r="C69" s="353">
        <v>26</v>
      </c>
      <c r="D69" s="328"/>
      <c r="E69" s="328"/>
      <c r="F69" s="105"/>
      <c r="G69" s="105"/>
      <c r="H69" s="105"/>
    </row>
    <row r="70" spans="1:9" x14ac:dyDescent="0.2">
      <c r="A70" s="139" t="s">
        <v>84</v>
      </c>
      <c r="B70" s="140">
        <v>8.5</v>
      </c>
      <c r="C70" s="353">
        <v>35</v>
      </c>
      <c r="D70" s="328"/>
      <c r="E70" s="328"/>
      <c r="F70" s="105"/>
      <c r="G70" s="105"/>
      <c r="H70" s="105"/>
    </row>
    <row r="71" spans="1:9" x14ac:dyDescent="0.2">
      <c r="A71" s="139" t="s">
        <v>85</v>
      </c>
      <c r="B71" s="140">
        <v>9.5</v>
      </c>
      <c r="C71" s="353">
        <v>0</v>
      </c>
      <c r="D71" s="328"/>
      <c r="E71" s="328"/>
      <c r="F71" s="105"/>
      <c r="G71" s="105"/>
      <c r="H71" s="105"/>
    </row>
    <row r="72" spans="1:9" x14ac:dyDescent="0.2">
      <c r="A72" s="142" t="s">
        <v>86</v>
      </c>
      <c r="B72" s="143">
        <v>10.5</v>
      </c>
      <c r="C72" s="355">
        <v>0</v>
      </c>
      <c r="D72" s="328"/>
      <c r="E72" s="328"/>
      <c r="F72" s="105"/>
      <c r="G72" s="105"/>
      <c r="H72" s="105"/>
    </row>
    <row r="73" spans="1:9" ht="13.5" thickBot="1" x14ac:dyDescent="0.25">
      <c r="A73" s="145" t="s">
        <v>3</v>
      </c>
      <c r="B73" s="146"/>
      <c r="C73" s="352">
        <f>SUM(C62:C72)</f>
        <v>352</v>
      </c>
      <c r="D73" s="328"/>
      <c r="E73" s="328"/>
      <c r="F73" s="105"/>
      <c r="G73" s="105"/>
      <c r="H73" s="105"/>
    </row>
    <row r="74" spans="1:9" x14ac:dyDescent="0.2">
      <c r="A74" s="147" t="s">
        <v>332</v>
      </c>
      <c r="B74" s="148"/>
      <c r="C74" s="307">
        <f>SUMPRODUCT($B$62:$B$72,C62:C72)/C73</f>
        <v>4.6732954545454541</v>
      </c>
      <c r="D74" s="328"/>
      <c r="E74" s="328"/>
      <c r="F74" s="105"/>
      <c r="G74" s="105"/>
      <c r="H74" s="105"/>
    </row>
    <row r="75" spans="1:9" x14ac:dyDescent="0.2">
      <c r="A75" s="149" t="s">
        <v>333</v>
      </c>
      <c r="B75" s="150"/>
      <c r="C75" s="131">
        <f>H57</f>
        <v>531991.64135421021</v>
      </c>
      <c r="D75" s="328"/>
      <c r="E75" s="328"/>
      <c r="F75" s="105"/>
      <c r="G75" s="105"/>
      <c r="H75" s="105"/>
    </row>
    <row r="76" spans="1:9" x14ac:dyDescent="0.2">
      <c r="A76" s="325"/>
      <c r="B76" s="326"/>
      <c r="C76" s="327"/>
      <c r="D76" s="327"/>
      <c r="E76" s="326"/>
      <c r="F76" s="325"/>
      <c r="G76" s="325"/>
      <c r="H76" s="328"/>
      <c r="I76" s="119"/>
    </row>
    <row r="77" spans="1:9" ht="15" x14ac:dyDescent="0.2">
      <c r="A77" s="331" t="s">
        <v>334</v>
      </c>
      <c r="B77" s="326"/>
      <c r="C77" s="327"/>
      <c r="D77" s="327"/>
      <c r="E77" s="326"/>
      <c r="F77" s="325"/>
      <c r="G77" s="325"/>
      <c r="H77" s="328"/>
      <c r="I77" s="119"/>
    </row>
    <row r="78" spans="1:9" ht="39" customHeight="1" x14ac:dyDescent="0.2">
      <c r="A78" s="125" t="s">
        <v>335</v>
      </c>
      <c r="B78" s="126" t="s">
        <v>336</v>
      </c>
      <c r="C78" s="126" t="s">
        <v>337</v>
      </c>
      <c r="D78" s="126" t="s">
        <v>3</v>
      </c>
      <c r="E78" s="127" t="s">
        <v>338</v>
      </c>
      <c r="F78" s="325"/>
      <c r="G78" s="325"/>
      <c r="H78" s="328"/>
      <c r="I78" s="119"/>
    </row>
    <row r="79" spans="1:9" x14ac:dyDescent="0.2">
      <c r="A79" s="153" t="s">
        <v>328</v>
      </c>
      <c r="B79" s="268">
        <f>SUMIF($C$7:$C$14,"SIM",$B$7:$B$14)</f>
        <v>3</v>
      </c>
      <c r="C79" s="268">
        <f>SUMIF($C$7:$C$14,"NÃO",$B$7:$B$14)</f>
        <v>0</v>
      </c>
      <c r="D79" s="141">
        <f>B79+C79</f>
        <v>3</v>
      </c>
      <c r="E79" s="154">
        <f>IF(D79=0,0,B79/D79)</f>
        <v>1</v>
      </c>
      <c r="F79" s="325"/>
      <c r="G79" s="325"/>
      <c r="H79" s="328"/>
      <c r="I79" s="119"/>
    </row>
    <row r="80" spans="1:9" x14ac:dyDescent="0.2">
      <c r="A80" s="153" t="s">
        <v>286</v>
      </c>
      <c r="B80" s="268">
        <f>SUMIF($C$17:$C$36,"SIM",$B$17:$B$36)</f>
        <v>160</v>
      </c>
      <c r="C80" s="268">
        <f>SUMIF($C$17:$C$36,"NÃO",$B$17:$B$36)</f>
        <v>114</v>
      </c>
      <c r="D80" s="141">
        <f>B80+C80</f>
        <v>274</v>
      </c>
      <c r="E80" s="154">
        <f>IF(D80=0,0,B80/D80)</f>
        <v>0.58394160583941601</v>
      </c>
      <c r="F80" s="325"/>
      <c r="G80" s="332"/>
      <c r="H80" s="328"/>
      <c r="I80" s="119"/>
    </row>
    <row r="81" spans="1:9" x14ac:dyDescent="0.2">
      <c r="A81" s="153" t="s">
        <v>329</v>
      </c>
      <c r="B81" s="268">
        <f>SUMIF($C$39:$C$40,"SIM",$B$39:$B$40)</f>
        <v>0</v>
      </c>
      <c r="C81" s="268">
        <f>SUMIF($C$39:$C$40,"NÃO",$B$39:$B$40)</f>
        <v>0</v>
      </c>
      <c r="D81" s="141">
        <f>B81+C81</f>
        <v>0</v>
      </c>
      <c r="E81" s="154">
        <f>IF(D81=0,0,B81/D81)</f>
        <v>0</v>
      </c>
      <c r="F81" s="325"/>
      <c r="G81" s="325"/>
      <c r="H81" s="328"/>
      <c r="I81" s="119"/>
    </row>
    <row r="82" spans="1:9" x14ac:dyDescent="0.2">
      <c r="A82" s="157" t="s">
        <v>285</v>
      </c>
      <c r="B82" s="269">
        <f>SUMIF($C$43:$C$54,"SIM",$B$43:$B$54)</f>
        <v>45</v>
      </c>
      <c r="C82" s="269">
        <f>SUMIF($C$43:$C$54,"NÃO",$B$43:$B$54)</f>
        <v>30</v>
      </c>
      <c r="D82" s="144">
        <f>B82+C82</f>
        <v>75</v>
      </c>
      <c r="E82" s="158">
        <f>IF(D82=0,0,B82/D82)</f>
        <v>0.6</v>
      </c>
      <c r="F82" s="325"/>
      <c r="G82" s="325"/>
      <c r="H82" s="328"/>
      <c r="I82" s="119"/>
    </row>
    <row r="83" spans="1:9" ht="15" x14ac:dyDescent="0.2">
      <c r="A83" s="155" t="s">
        <v>339</v>
      </c>
      <c r="B83" s="152">
        <f>SUM(B79:B82)</f>
        <v>208</v>
      </c>
      <c r="C83" s="152">
        <f>SUM(C79:C82)</f>
        <v>144</v>
      </c>
      <c r="D83" s="152">
        <f>SUM(D79:D82)</f>
        <v>352</v>
      </c>
      <c r="E83" s="156">
        <f>IF(D83=0,0,B83/D83)</f>
        <v>0.59090909090909094</v>
      </c>
      <c r="F83" s="325"/>
      <c r="G83" s="325"/>
      <c r="H83" s="328"/>
      <c r="I83" s="119"/>
    </row>
  </sheetData>
  <sheetProtection password="DB60" sheet="1" objects="1" scenarios="1"/>
  <pageMargins left="0.25" right="0.23" top="0.6" bottom="0.66" header="0.31496062992125984" footer="0.31496062992125984"/>
  <pageSetup paperSize="9"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M64"/>
  <sheetViews>
    <sheetView topLeftCell="A28" zoomScaleNormal="100" workbookViewId="0">
      <selection activeCell="D46" sqref="D46"/>
    </sheetView>
  </sheetViews>
  <sheetFormatPr defaultColWidth="8.85546875" defaultRowHeight="12.75" x14ac:dyDescent="0.2"/>
  <cols>
    <col min="1" max="1" width="26" style="14" customWidth="1"/>
    <col min="2" max="2" width="11.140625" style="14" customWidth="1"/>
    <col min="3" max="3" width="13.140625" style="19" customWidth="1"/>
    <col min="4" max="4" width="12.85546875" style="19" customWidth="1"/>
    <col min="5" max="5" width="13" style="14" customWidth="1"/>
    <col min="6" max="6" width="12.7109375" style="14" bestFit="1" customWidth="1"/>
    <col min="7" max="7" width="18.7109375" style="14" customWidth="1"/>
    <col min="8" max="8" width="4.5703125" style="14" customWidth="1"/>
    <col min="9" max="16384" width="8.85546875" style="14"/>
  </cols>
  <sheetData>
    <row r="1" spans="1:5" ht="15.75" x14ac:dyDescent="0.2">
      <c r="A1" s="281" t="s">
        <v>342</v>
      </c>
      <c r="B1" s="333"/>
      <c r="C1" s="334"/>
      <c r="D1" s="334"/>
      <c r="E1" s="333"/>
    </row>
    <row r="2" spans="1:5" x14ac:dyDescent="0.2">
      <c r="A2" s="335"/>
      <c r="B2" s="335"/>
      <c r="C2" s="335"/>
      <c r="D2" s="335"/>
      <c r="E2" s="335"/>
    </row>
    <row r="3" spans="1:5" ht="25.5" x14ac:dyDescent="0.2">
      <c r="A3" s="271" t="s">
        <v>101</v>
      </c>
      <c r="B3" s="49" t="s">
        <v>340</v>
      </c>
      <c r="C3" s="49" t="s">
        <v>102</v>
      </c>
      <c r="D3" s="272" t="s">
        <v>103</v>
      </c>
      <c r="E3" s="49" t="s">
        <v>104</v>
      </c>
    </row>
    <row r="4" spans="1:5" x14ac:dyDescent="0.2">
      <c r="A4" s="275" t="s">
        <v>69</v>
      </c>
      <c r="B4" s="336"/>
      <c r="C4" s="79">
        <f>'02 Coeficientes'!B4</f>
        <v>0.31669999999999998</v>
      </c>
      <c r="D4" s="79">
        <f>'01 Preços'!$B$5</f>
        <v>2.5573999999999999</v>
      </c>
      <c r="E4" s="81">
        <f t="shared" ref="E4:E37" si="0">B4*C4*D4</f>
        <v>0</v>
      </c>
    </row>
    <row r="5" spans="1:5" x14ac:dyDescent="0.2">
      <c r="A5" s="276" t="s">
        <v>20</v>
      </c>
      <c r="B5" s="336"/>
      <c r="C5" s="79">
        <f>'02 Coeficientes'!B5</f>
        <v>0</v>
      </c>
      <c r="D5" s="79">
        <f>'01 Preços'!$B$5</f>
        <v>2.5573999999999999</v>
      </c>
      <c r="E5" s="76">
        <f t="shared" si="0"/>
        <v>0</v>
      </c>
    </row>
    <row r="6" spans="1:5" x14ac:dyDescent="0.2">
      <c r="A6" s="276" t="s">
        <v>22</v>
      </c>
      <c r="B6" s="336"/>
      <c r="C6" s="79">
        <f>'02 Coeficientes'!B6</f>
        <v>0</v>
      </c>
      <c r="D6" s="79">
        <f>'01 Preços'!$B$5</f>
        <v>2.5573999999999999</v>
      </c>
      <c r="E6" s="76">
        <f t="shared" si="0"/>
        <v>0</v>
      </c>
    </row>
    <row r="7" spans="1:5" x14ac:dyDescent="0.2">
      <c r="A7" s="276" t="s">
        <v>21</v>
      </c>
      <c r="B7" s="336"/>
      <c r="C7" s="79">
        <f>'02 Coeficientes'!B7</f>
        <v>0</v>
      </c>
      <c r="D7" s="79">
        <f>'01 Preços'!$B$5</f>
        <v>2.5573999999999999</v>
      </c>
      <c r="E7" s="76">
        <f t="shared" si="0"/>
        <v>0</v>
      </c>
    </row>
    <row r="8" spans="1:5" x14ac:dyDescent="0.2">
      <c r="A8" s="276" t="s">
        <v>70</v>
      </c>
      <c r="B8" s="336"/>
      <c r="C8" s="79">
        <f>'02 Coeficientes'!B8</f>
        <v>0</v>
      </c>
      <c r="D8" s="79">
        <f>'01 Preços'!$B$5</f>
        <v>2.5573999999999999</v>
      </c>
      <c r="E8" s="76">
        <f t="shared" si="0"/>
        <v>0</v>
      </c>
    </row>
    <row r="9" spans="1:5" x14ac:dyDescent="0.2">
      <c r="A9" s="276" t="s">
        <v>23</v>
      </c>
      <c r="B9" s="336"/>
      <c r="C9" s="79">
        <f>'02 Coeficientes'!B9</f>
        <v>0.38969999999999999</v>
      </c>
      <c r="D9" s="79">
        <f>'01 Preços'!$B$5</f>
        <v>2.5573999999999999</v>
      </c>
      <c r="E9" s="76">
        <f t="shared" si="0"/>
        <v>0</v>
      </c>
    </row>
    <row r="10" spans="1:5" x14ac:dyDescent="0.2">
      <c r="A10" s="276" t="s">
        <v>24</v>
      </c>
      <c r="B10" s="336">
        <v>3</v>
      </c>
      <c r="C10" s="79">
        <f>'02 Coeficientes'!B10</f>
        <v>0.55259999999999998</v>
      </c>
      <c r="D10" s="79">
        <f>'01 Preços'!$B$5</f>
        <v>2.5573999999999999</v>
      </c>
      <c r="E10" s="76">
        <f t="shared" si="0"/>
        <v>4.2396577199999994</v>
      </c>
    </row>
    <row r="11" spans="1:5" x14ac:dyDescent="0.2">
      <c r="A11" s="276" t="s">
        <v>25</v>
      </c>
      <c r="B11" s="336"/>
      <c r="C11" s="79">
        <f>'02 Coeficientes'!B11</f>
        <v>0</v>
      </c>
      <c r="D11" s="79">
        <f>'01 Preços'!$B$5</f>
        <v>2.5573999999999999</v>
      </c>
      <c r="E11" s="76">
        <f t="shared" si="0"/>
        <v>0</v>
      </c>
    </row>
    <row r="12" spans="1:5" x14ac:dyDescent="0.2">
      <c r="A12" s="276" t="s">
        <v>26</v>
      </c>
      <c r="B12" s="336"/>
      <c r="C12" s="79">
        <f>'02 Coeficientes'!B12</f>
        <v>0</v>
      </c>
      <c r="D12" s="79">
        <f>'01 Preços'!$B$5</f>
        <v>2.5573999999999999</v>
      </c>
      <c r="E12" s="76">
        <f t="shared" si="0"/>
        <v>0</v>
      </c>
    </row>
    <row r="13" spans="1:5" x14ac:dyDescent="0.2">
      <c r="A13" s="276" t="s">
        <v>27</v>
      </c>
      <c r="B13" s="336">
        <v>65</v>
      </c>
      <c r="C13" s="79">
        <f>'02 Coeficientes'!B13</f>
        <v>0.40250000000000002</v>
      </c>
      <c r="D13" s="79">
        <f>'01 Preços'!$B$5</f>
        <v>2.5573999999999999</v>
      </c>
      <c r="E13" s="76">
        <f t="shared" si="0"/>
        <v>66.907977500000001</v>
      </c>
    </row>
    <row r="14" spans="1:5" x14ac:dyDescent="0.2">
      <c r="A14" s="276" t="s">
        <v>30</v>
      </c>
      <c r="B14" s="336"/>
      <c r="C14" s="79">
        <f>'02 Coeficientes'!B14</f>
        <v>0</v>
      </c>
      <c r="D14" s="79">
        <f>'01 Preços'!$B$5</f>
        <v>2.5573999999999999</v>
      </c>
      <c r="E14" s="76">
        <f t="shared" si="0"/>
        <v>0</v>
      </c>
    </row>
    <row r="15" spans="1:5" x14ac:dyDescent="0.2">
      <c r="A15" s="276" t="s">
        <v>28</v>
      </c>
      <c r="B15" s="336"/>
      <c r="C15" s="79">
        <f>'02 Coeficientes'!B15</f>
        <v>0.46689999999999998</v>
      </c>
      <c r="D15" s="79">
        <f>'01 Preços'!$B$5</f>
        <v>2.5573999999999999</v>
      </c>
      <c r="E15" s="76">
        <f t="shared" si="0"/>
        <v>0</v>
      </c>
    </row>
    <row r="16" spans="1:5" x14ac:dyDescent="0.2">
      <c r="A16" s="276" t="s">
        <v>29</v>
      </c>
      <c r="B16" s="336"/>
      <c r="C16" s="79">
        <f>'02 Coeficientes'!B16</f>
        <v>0</v>
      </c>
      <c r="D16" s="79">
        <f>'01 Preços'!$B$5</f>
        <v>2.5573999999999999</v>
      </c>
      <c r="E16" s="76">
        <f t="shared" si="0"/>
        <v>0</v>
      </c>
    </row>
    <row r="17" spans="1:5" x14ac:dyDescent="0.2">
      <c r="A17" s="276" t="s">
        <v>31</v>
      </c>
      <c r="B17" s="336"/>
      <c r="C17" s="79">
        <f>'02 Coeficientes'!B17</f>
        <v>0.44840000000000002</v>
      </c>
      <c r="D17" s="79">
        <f>'01 Preços'!$B$5</f>
        <v>2.5573999999999999</v>
      </c>
      <c r="E17" s="76">
        <f t="shared" si="0"/>
        <v>0</v>
      </c>
    </row>
    <row r="18" spans="1:5" x14ac:dyDescent="0.2">
      <c r="A18" s="276" t="s">
        <v>34</v>
      </c>
      <c r="B18" s="336">
        <v>160</v>
      </c>
      <c r="C18" s="79">
        <f>'02 Coeficientes'!B18</f>
        <v>0.60640000000000005</v>
      </c>
      <c r="D18" s="79">
        <f>'01 Preços'!$B$5</f>
        <v>2.5573999999999999</v>
      </c>
      <c r="E18" s="76">
        <f t="shared" si="0"/>
        <v>248.12917759999999</v>
      </c>
    </row>
    <row r="19" spans="1:5" x14ac:dyDescent="0.2">
      <c r="A19" s="276" t="s">
        <v>32</v>
      </c>
      <c r="B19" s="336"/>
      <c r="C19" s="79">
        <f>'02 Coeficientes'!B19</f>
        <v>0.52329999999999999</v>
      </c>
      <c r="D19" s="79">
        <f>'01 Preços'!$B$5</f>
        <v>2.5573999999999999</v>
      </c>
      <c r="E19" s="76">
        <f t="shared" si="0"/>
        <v>0</v>
      </c>
    </row>
    <row r="20" spans="1:5" x14ac:dyDescent="0.2">
      <c r="A20" s="276" t="s">
        <v>33</v>
      </c>
      <c r="B20" s="336">
        <v>49</v>
      </c>
      <c r="C20" s="79">
        <f>'02 Coeficientes'!B20</f>
        <v>0.54310000000000003</v>
      </c>
      <c r="D20" s="79">
        <f>'01 Preços'!$B$5</f>
        <v>2.5573999999999999</v>
      </c>
      <c r="E20" s="76">
        <f t="shared" si="0"/>
        <v>68.05727306</v>
      </c>
    </row>
    <row r="21" spans="1:5" x14ac:dyDescent="0.2">
      <c r="A21" s="276" t="s">
        <v>35</v>
      </c>
      <c r="B21" s="336"/>
      <c r="C21" s="79">
        <f>'02 Coeficientes'!B21</f>
        <v>0</v>
      </c>
      <c r="D21" s="79">
        <f>'01 Preços'!$B$5</f>
        <v>2.5573999999999999</v>
      </c>
      <c r="E21" s="76">
        <f t="shared" si="0"/>
        <v>0</v>
      </c>
    </row>
    <row r="22" spans="1:5" x14ac:dyDescent="0.2">
      <c r="A22" s="276" t="s">
        <v>36</v>
      </c>
      <c r="B22" s="336"/>
      <c r="C22" s="79">
        <f>'02 Coeficientes'!B22</f>
        <v>0</v>
      </c>
      <c r="D22" s="79">
        <f>'01 Preços'!$B$5</f>
        <v>2.5573999999999999</v>
      </c>
      <c r="E22" s="76">
        <f t="shared" si="0"/>
        <v>0</v>
      </c>
    </row>
    <row r="23" spans="1:5" x14ac:dyDescent="0.2">
      <c r="A23" s="276" t="s">
        <v>37</v>
      </c>
      <c r="B23" s="336"/>
      <c r="C23" s="79">
        <f>'02 Coeficientes'!B23</f>
        <v>0</v>
      </c>
      <c r="D23" s="79">
        <f>'01 Preços'!$B$5</f>
        <v>2.5573999999999999</v>
      </c>
      <c r="E23" s="76">
        <f t="shared" si="0"/>
        <v>0</v>
      </c>
    </row>
    <row r="24" spans="1:5" x14ac:dyDescent="0.2">
      <c r="A24" s="276" t="s">
        <v>38</v>
      </c>
      <c r="B24" s="336"/>
      <c r="C24" s="79">
        <f>'02 Coeficientes'!B24</f>
        <v>0</v>
      </c>
      <c r="D24" s="79">
        <f>'01 Preços'!$B$5</f>
        <v>2.5573999999999999</v>
      </c>
      <c r="E24" s="76">
        <f t="shared" si="0"/>
        <v>0</v>
      </c>
    </row>
    <row r="25" spans="1:5" x14ac:dyDescent="0.2">
      <c r="A25" s="276" t="s">
        <v>39</v>
      </c>
      <c r="B25" s="336"/>
      <c r="C25" s="79">
        <f>'02 Coeficientes'!B25</f>
        <v>0.44979999999999998</v>
      </c>
      <c r="D25" s="79">
        <f>'01 Preços'!$B$5</f>
        <v>2.5573999999999999</v>
      </c>
      <c r="E25" s="76">
        <f t="shared" si="0"/>
        <v>0</v>
      </c>
    </row>
    <row r="26" spans="1:5" x14ac:dyDescent="0.2">
      <c r="A26" s="276" t="s">
        <v>40</v>
      </c>
      <c r="B26" s="336"/>
      <c r="C26" s="79">
        <f>'02 Coeficientes'!B26</f>
        <v>0.5343</v>
      </c>
      <c r="D26" s="79">
        <f>'01 Preços'!$B$5</f>
        <v>2.5573999999999999</v>
      </c>
      <c r="E26" s="76">
        <f t="shared" si="0"/>
        <v>0</v>
      </c>
    </row>
    <row r="27" spans="1:5" x14ac:dyDescent="0.2">
      <c r="A27" s="276" t="s">
        <v>43</v>
      </c>
      <c r="B27" s="336"/>
      <c r="C27" s="79">
        <f>'02 Coeficientes'!B27</f>
        <v>0</v>
      </c>
      <c r="D27" s="79">
        <f>'01 Preços'!$B$5</f>
        <v>2.5573999999999999</v>
      </c>
      <c r="E27" s="76">
        <f t="shared" si="0"/>
        <v>0</v>
      </c>
    </row>
    <row r="28" spans="1:5" x14ac:dyDescent="0.2">
      <c r="A28" s="276" t="s">
        <v>44</v>
      </c>
      <c r="B28" s="336"/>
      <c r="C28" s="79">
        <f>'02 Coeficientes'!B28</f>
        <v>0</v>
      </c>
      <c r="D28" s="79">
        <f>'01 Preços'!$B$5</f>
        <v>2.5573999999999999</v>
      </c>
      <c r="E28" s="76">
        <f t="shared" si="0"/>
        <v>0</v>
      </c>
    </row>
    <row r="29" spans="1:5" x14ac:dyDescent="0.2">
      <c r="A29" s="276" t="s">
        <v>42</v>
      </c>
      <c r="B29" s="336">
        <v>15</v>
      </c>
      <c r="C29" s="79">
        <f>'02 Coeficientes'!B29</f>
        <v>0</v>
      </c>
      <c r="D29" s="79">
        <f>'01 Preços'!$B$5</f>
        <v>2.5573999999999999</v>
      </c>
      <c r="E29" s="76">
        <f t="shared" si="0"/>
        <v>0</v>
      </c>
    </row>
    <row r="30" spans="1:5" x14ac:dyDescent="0.2">
      <c r="A30" s="276" t="s">
        <v>41</v>
      </c>
      <c r="B30" s="336"/>
      <c r="C30" s="79">
        <f>'02 Coeficientes'!B30</f>
        <v>0</v>
      </c>
      <c r="D30" s="79">
        <f>'01 Preços'!$B$5</f>
        <v>2.5573999999999999</v>
      </c>
      <c r="E30" s="76">
        <f t="shared" si="0"/>
        <v>0</v>
      </c>
    </row>
    <row r="31" spans="1:5" x14ac:dyDescent="0.2">
      <c r="A31" s="276" t="s">
        <v>43</v>
      </c>
      <c r="B31" s="336">
        <v>45</v>
      </c>
      <c r="C31" s="79">
        <f>'02 Coeficientes'!B31</f>
        <v>0.79849999999999999</v>
      </c>
      <c r="D31" s="79">
        <f>'01 Preços'!$B$5</f>
        <v>2.5573999999999999</v>
      </c>
      <c r="E31" s="76">
        <f t="shared" si="0"/>
        <v>91.89377549999999</v>
      </c>
    </row>
    <row r="32" spans="1:5" x14ac:dyDescent="0.2">
      <c r="A32" s="276" t="s">
        <v>44</v>
      </c>
      <c r="B32" s="336"/>
      <c r="C32" s="79">
        <f>'02 Coeficientes'!B32</f>
        <v>0</v>
      </c>
      <c r="D32" s="79">
        <f>'01 Preços'!$B$5</f>
        <v>2.5573999999999999</v>
      </c>
      <c r="E32" s="76">
        <f t="shared" si="0"/>
        <v>0</v>
      </c>
    </row>
    <row r="33" spans="1:5" x14ac:dyDescent="0.2">
      <c r="A33" s="276" t="s">
        <v>42</v>
      </c>
      <c r="B33" s="336"/>
      <c r="C33" s="79">
        <f>'02 Coeficientes'!B33</f>
        <v>0.77349999999999997</v>
      </c>
      <c r="D33" s="79">
        <f>'01 Preços'!$B$5</f>
        <v>2.5573999999999999</v>
      </c>
      <c r="E33" s="76">
        <f t="shared" si="0"/>
        <v>0</v>
      </c>
    </row>
    <row r="34" spans="1:5" x14ac:dyDescent="0.2">
      <c r="A34" s="276" t="s">
        <v>71</v>
      </c>
      <c r="B34" s="336"/>
      <c r="C34" s="79">
        <f>'02 Coeficientes'!B34</f>
        <v>0</v>
      </c>
      <c r="D34" s="79">
        <f>'01 Preços'!$B$5</f>
        <v>2.5573999999999999</v>
      </c>
      <c r="E34" s="76">
        <f t="shared" si="0"/>
        <v>0</v>
      </c>
    </row>
    <row r="35" spans="1:5" x14ac:dyDescent="0.2">
      <c r="A35" s="276" t="s">
        <v>46</v>
      </c>
      <c r="B35" s="336"/>
      <c r="C35" s="79">
        <f>'02 Coeficientes'!B35</f>
        <v>0.753</v>
      </c>
      <c r="D35" s="79">
        <f>'01 Preços'!$B$5</f>
        <v>2.5573999999999999</v>
      </c>
      <c r="E35" s="76">
        <f t="shared" si="0"/>
        <v>0</v>
      </c>
    </row>
    <row r="36" spans="1:5" x14ac:dyDescent="0.2">
      <c r="A36" s="276" t="s">
        <v>47</v>
      </c>
      <c r="B36" s="336"/>
      <c r="C36" s="79">
        <f>'02 Coeficientes'!B36</f>
        <v>0</v>
      </c>
      <c r="D36" s="79">
        <f>'01 Preços'!$B$5</f>
        <v>2.5573999999999999</v>
      </c>
      <c r="E36" s="76">
        <f t="shared" si="0"/>
        <v>0</v>
      </c>
    </row>
    <row r="37" spans="1:5" x14ac:dyDescent="0.2">
      <c r="A37" s="276" t="s">
        <v>45</v>
      </c>
      <c r="B37" s="337">
        <v>15</v>
      </c>
      <c r="C37" s="80">
        <f>'02 Coeficientes'!B37</f>
        <v>0.68600000000000005</v>
      </c>
      <c r="D37" s="80">
        <f>'01 Preços'!$B$5</f>
        <v>2.5573999999999999</v>
      </c>
      <c r="E37" s="76">
        <f t="shared" si="0"/>
        <v>26.315646000000001</v>
      </c>
    </row>
    <row r="38" spans="1:5" x14ac:dyDescent="0.2">
      <c r="A38" s="274" t="s">
        <v>3</v>
      </c>
      <c r="B38" s="67">
        <f>SUM(B4:B37)</f>
        <v>352</v>
      </c>
      <c r="C38" s="67"/>
      <c r="D38" s="273"/>
      <c r="E38" s="82">
        <f>SUM(E4:E37)</f>
        <v>505.54350737999999</v>
      </c>
    </row>
    <row r="39" spans="1:5" x14ac:dyDescent="0.2">
      <c r="A39" s="338"/>
      <c r="B39" s="339"/>
      <c r="C39" s="339"/>
      <c r="D39" s="338"/>
      <c r="E39" s="339"/>
    </row>
    <row r="40" spans="1:5" ht="12.75" customHeight="1" x14ac:dyDescent="0.2">
      <c r="A40" s="752" t="s">
        <v>139</v>
      </c>
      <c r="B40" s="753"/>
      <c r="C40" s="753"/>
      <c r="D40" s="754"/>
      <c r="E40" s="82">
        <f>E38/B38</f>
        <v>1.436203145965909</v>
      </c>
    </row>
    <row r="41" spans="1:5" x14ac:dyDescent="0.2">
      <c r="A41" s="339"/>
      <c r="B41" s="339"/>
      <c r="C41" s="338"/>
      <c r="D41" s="338"/>
      <c r="E41" s="339"/>
    </row>
    <row r="42" spans="1:5" x14ac:dyDescent="0.2">
      <c r="A42" s="752" t="s">
        <v>138</v>
      </c>
      <c r="B42" s="753"/>
      <c r="C42" s="753"/>
      <c r="D42" s="754"/>
      <c r="E42" s="82">
        <f>E40*'02 Coeficientes'!$B$38</f>
        <v>3.1883709840443183E-2</v>
      </c>
    </row>
    <row r="43" spans="1:5" x14ac:dyDescent="0.2">
      <c r="A43" s="339"/>
      <c r="B43" s="339"/>
      <c r="C43" s="339"/>
      <c r="D43" s="339"/>
      <c r="E43" s="339"/>
    </row>
    <row r="44" spans="1:5" ht="25.5" x14ac:dyDescent="0.2">
      <c r="A44" s="271" t="s">
        <v>266</v>
      </c>
      <c r="B44" s="277" t="s">
        <v>137</v>
      </c>
      <c r="C44" s="277" t="s">
        <v>105</v>
      </c>
      <c r="D44" s="277" t="s">
        <v>106</v>
      </c>
      <c r="E44" s="278" t="s">
        <v>107</v>
      </c>
    </row>
    <row r="45" spans="1:5" x14ac:dyDescent="0.2">
      <c r="A45" s="279" t="s">
        <v>267</v>
      </c>
      <c r="B45" s="61">
        <f>'04 Frota'!D79</f>
        <v>3</v>
      </c>
      <c r="C45" s="77">
        <f>'01 Preços'!B6</f>
        <v>1196.2472972972973</v>
      </c>
      <c r="D45" s="73">
        <f>'02 Coeficientes'!B41</f>
        <v>6</v>
      </c>
      <c r="E45" s="77">
        <f>C45*D45</f>
        <v>7177.483783783784</v>
      </c>
    </row>
    <row r="46" spans="1:5" x14ac:dyDescent="0.2">
      <c r="A46" s="279" t="s">
        <v>268</v>
      </c>
      <c r="B46" s="61">
        <f>'04 Frota'!D80</f>
        <v>274</v>
      </c>
      <c r="C46" s="77">
        <f>'01 Preços'!B8</f>
        <v>1435.4018556701033</v>
      </c>
      <c r="D46" s="73">
        <f>'02 Coeficientes'!B42</f>
        <v>6</v>
      </c>
      <c r="E46" s="77">
        <f>C46*D46</f>
        <v>8612.41113402062</v>
      </c>
    </row>
    <row r="47" spans="1:5" x14ac:dyDescent="0.2">
      <c r="A47" s="279" t="s">
        <v>269</v>
      </c>
      <c r="B47" s="61">
        <f>'04 Frota'!D81</f>
        <v>0</v>
      </c>
      <c r="C47" s="77">
        <f>C46</f>
        <v>1435.4018556701033</v>
      </c>
      <c r="D47" s="73">
        <f>'02 Coeficientes'!B43</f>
        <v>8</v>
      </c>
      <c r="E47" s="77">
        <f>C47*D47</f>
        <v>11483.214845360826</v>
      </c>
    </row>
    <row r="48" spans="1:5" x14ac:dyDescent="0.2">
      <c r="A48" s="279" t="s">
        <v>270</v>
      </c>
      <c r="B48" s="61">
        <f>'04 Frota'!D82</f>
        <v>75</v>
      </c>
      <c r="C48" s="77">
        <f>C47</f>
        <v>1435.4018556701033</v>
      </c>
      <c r="D48" s="73">
        <f>'02 Coeficientes'!B44</f>
        <v>10</v>
      </c>
      <c r="E48" s="77">
        <f>C48*D48</f>
        <v>14354.018556701032</v>
      </c>
    </row>
    <row r="49" spans="1:143" x14ac:dyDescent="0.2">
      <c r="A49" s="271" t="s">
        <v>140</v>
      </c>
      <c r="B49" s="50">
        <f>SUM(B45:B48)</f>
        <v>352</v>
      </c>
      <c r="C49" s="51"/>
      <c r="D49" s="49"/>
      <c r="E49" s="51"/>
    </row>
    <row r="50" spans="1:143" x14ac:dyDescent="0.2">
      <c r="A50" s="752" t="s">
        <v>108</v>
      </c>
      <c r="B50" s="753"/>
      <c r="C50" s="753"/>
      <c r="D50" s="754"/>
      <c r="E50" s="161">
        <f>(B45*$E$45+B46*$E$46+B47*$E$47+B48*$E$48)/B49</f>
        <v>9823.5354938226683</v>
      </c>
    </row>
    <row r="51" spans="1:143" x14ac:dyDescent="0.2">
      <c r="A51" s="339"/>
      <c r="B51" s="339"/>
      <c r="C51" s="340"/>
      <c r="D51" s="339"/>
      <c r="E51" s="340"/>
    </row>
    <row r="52" spans="1:143" ht="25.5" x14ac:dyDescent="0.2">
      <c r="A52" s="271" t="s">
        <v>1</v>
      </c>
      <c r="B52" s="277" t="s">
        <v>137</v>
      </c>
      <c r="C52" s="280" t="s">
        <v>109</v>
      </c>
      <c r="D52" s="277" t="s">
        <v>289</v>
      </c>
      <c r="E52" s="280" t="s">
        <v>107</v>
      </c>
    </row>
    <row r="53" spans="1:143" x14ac:dyDescent="0.2">
      <c r="A53" s="279" t="s">
        <v>267</v>
      </c>
      <c r="B53" s="61">
        <f t="shared" ref="B53:B56" si="1">B45</f>
        <v>3</v>
      </c>
      <c r="C53" s="77">
        <f>'01 Preços'!B7</f>
        <v>348.269801980198</v>
      </c>
      <c r="D53" s="83">
        <f>D45*2</f>
        <v>12</v>
      </c>
      <c r="E53" s="77">
        <f>C53*D53</f>
        <v>4179.2376237623757</v>
      </c>
    </row>
    <row r="54" spans="1:143" x14ac:dyDescent="0.2">
      <c r="A54" s="279" t="s">
        <v>268</v>
      </c>
      <c r="B54" s="61">
        <f t="shared" si="1"/>
        <v>274</v>
      </c>
      <c r="C54" s="77">
        <f>'01 Preços'!B9</f>
        <v>362.8319658119658</v>
      </c>
      <c r="D54" s="83">
        <f>D46*2</f>
        <v>12</v>
      </c>
      <c r="E54" s="77">
        <f>C54*D54</f>
        <v>4353.9835897435896</v>
      </c>
    </row>
    <row r="55" spans="1:143" x14ac:dyDescent="0.2">
      <c r="A55" s="279" t="s">
        <v>269</v>
      </c>
      <c r="B55" s="61">
        <f t="shared" si="1"/>
        <v>0</v>
      </c>
      <c r="C55" s="77">
        <f>C54</f>
        <v>362.8319658119658</v>
      </c>
      <c r="D55" s="83">
        <f>D47*2</f>
        <v>16</v>
      </c>
      <c r="E55" s="77">
        <f>C55*D55</f>
        <v>5805.3114529914528</v>
      </c>
    </row>
    <row r="56" spans="1:143" x14ac:dyDescent="0.2">
      <c r="A56" s="279" t="s">
        <v>270</v>
      </c>
      <c r="B56" s="61">
        <f t="shared" si="1"/>
        <v>75</v>
      </c>
      <c r="C56" s="77">
        <f>C55</f>
        <v>362.8319658119658</v>
      </c>
      <c r="D56" s="83">
        <f>D48*2</f>
        <v>20</v>
      </c>
      <c r="E56" s="77">
        <f>C56*D56</f>
        <v>7256.639316239316</v>
      </c>
    </row>
    <row r="57" spans="1:143" x14ac:dyDescent="0.2">
      <c r="A57" s="271" t="s">
        <v>140</v>
      </c>
      <c r="B57" s="50">
        <f>SUM(B53:B56)</f>
        <v>352</v>
      </c>
      <c r="C57" s="51"/>
      <c r="D57" s="49"/>
      <c r="E57" s="51"/>
    </row>
    <row r="58" spans="1:143" x14ac:dyDescent="0.2">
      <c r="A58" s="752" t="s">
        <v>108</v>
      </c>
      <c r="B58" s="753"/>
      <c r="C58" s="753"/>
      <c r="D58" s="754"/>
      <c r="E58" s="161">
        <f>(B53*$E$53+B54*$E$54+B55*$E$55+B56*$E$56)/B57</f>
        <v>4970.9578556221004</v>
      </c>
    </row>
    <row r="59" spans="1:143" x14ac:dyDescent="0.2">
      <c r="A59" s="339"/>
      <c r="B59" s="339"/>
      <c r="C59" s="339"/>
      <c r="D59" s="339"/>
      <c r="E59" s="340"/>
    </row>
    <row r="60" spans="1:143" x14ac:dyDescent="0.2">
      <c r="A60" s="752" t="s">
        <v>265</v>
      </c>
      <c r="B60" s="753"/>
      <c r="C60" s="753"/>
      <c r="D60" s="754"/>
      <c r="E60" s="161">
        <f>E50+E58</f>
        <v>14794.493349444769</v>
      </c>
    </row>
    <row r="61" spans="1:143" x14ac:dyDescent="0.2">
      <c r="A61" s="339"/>
      <c r="B61" s="339"/>
      <c r="C61" s="339"/>
      <c r="D61" s="339"/>
      <c r="E61" s="339"/>
    </row>
    <row r="62" spans="1:143" x14ac:dyDescent="0.2">
      <c r="A62" s="752" t="s">
        <v>264</v>
      </c>
      <c r="B62" s="753"/>
      <c r="C62" s="753"/>
      <c r="D62" s="754"/>
      <c r="E62" s="82">
        <f>E60/SUM('02 Coeficientes'!$B$39:$B$40)</f>
        <v>8.8029449369848023E-2</v>
      </c>
    </row>
    <row r="63" spans="1:143" x14ac:dyDescent="0.2">
      <c r="E63" s="19"/>
    </row>
    <row r="64" spans="1:143" s="19" customFormat="1" x14ac:dyDescent="0.2">
      <c r="A64" s="14"/>
      <c r="B64" s="29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</row>
  </sheetData>
  <sheetProtection password="DB60" sheet="1" objects="1" scenarios="1"/>
  <mergeCells count="6">
    <mergeCell ref="A62:D62"/>
    <mergeCell ref="A40:D40"/>
    <mergeCell ref="A42:D42"/>
    <mergeCell ref="A50:D50"/>
    <mergeCell ref="A58:D58"/>
    <mergeCell ref="A60:D60"/>
  </mergeCells>
  <pageMargins left="0.27559055118110237" right="0.19685039370078741" top="0.32" bottom="0.44" header="0.19685039370078741" footer="0.19685039370078741"/>
  <pageSetup scale="9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zoomScaleNormal="100" workbookViewId="0">
      <selection activeCell="B6" sqref="B6"/>
    </sheetView>
  </sheetViews>
  <sheetFormatPr defaultColWidth="8.85546875" defaultRowHeight="12.75" customHeight="1" x14ac:dyDescent="0.2"/>
  <cols>
    <col min="1" max="1" width="34.42578125" style="31" customWidth="1"/>
    <col min="2" max="2" width="17.140625" style="31" customWidth="1"/>
    <col min="3" max="3" width="15.85546875" style="31" customWidth="1"/>
    <col min="4" max="16384" width="8.85546875" style="31"/>
  </cols>
  <sheetData>
    <row r="1" spans="1:3" ht="17.25" customHeight="1" x14ac:dyDescent="0.25">
      <c r="A1" s="30" t="s">
        <v>341</v>
      </c>
      <c r="B1" s="20"/>
      <c r="C1" s="20"/>
    </row>
    <row r="3" spans="1:3" ht="12.75" customHeight="1" x14ac:dyDescent="0.2">
      <c r="A3" s="34"/>
      <c r="B3" s="32"/>
    </row>
    <row r="4" spans="1:3" ht="30" x14ac:dyDescent="0.25">
      <c r="A4" s="62" t="s">
        <v>13</v>
      </c>
      <c r="B4" s="56" t="s">
        <v>317</v>
      </c>
      <c r="C4" s="56" t="s">
        <v>145</v>
      </c>
    </row>
    <row r="5" spans="1:3" ht="16.5" customHeight="1" x14ac:dyDescent="0.2">
      <c r="A5" s="108" t="s">
        <v>202</v>
      </c>
      <c r="B5" s="97">
        <f>'04 Frota'!H57</f>
        <v>531991.64135421021</v>
      </c>
      <c r="C5" s="97" t="s">
        <v>120</v>
      </c>
    </row>
    <row r="6" spans="1:3" ht="16.5" customHeight="1" x14ac:dyDescent="0.2">
      <c r="A6" s="108" t="s">
        <v>113</v>
      </c>
      <c r="B6" s="96">
        <f>'02 Coeficientes'!B54</f>
        <v>4.7000000000000002E-3</v>
      </c>
      <c r="C6" s="159"/>
    </row>
    <row r="7" spans="1:3" ht="16.5" customHeight="1" x14ac:dyDescent="0.2">
      <c r="A7" s="108" t="s">
        <v>147</v>
      </c>
      <c r="B7" s="97">
        <f>B5*B6</f>
        <v>2500.3607143647882</v>
      </c>
      <c r="C7" s="97" t="s">
        <v>120</v>
      </c>
    </row>
    <row r="8" spans="1:3" ht="16.5" customHeight="1" x14ac:dyDescent="0.2">
      <c r="A8" s="108" t="s">
        <v>146</v>
      </c>
      <c r="B8" s="97">
        <f>'03 Dados_Oper'!B13</f>
        <v>5819.6147368111042</v>
      </c>
      <c r="C8" s="97" t="s">
        <v>68</v>
      </c>
    </row>
    <row r="9" spans="1:3" ht="18" customHeight="1" x14ac:dyDescent="0.2">
      <c r="A9" s="35" t="s">
        <v>148</v>
      </c>
      <c r="B9" s="54">
        <f>B7/B8</f>
        <v>0.42964368389356256</v>
      </c>
      <c r="C9" s="54" t="s">
        <v>12</v>
      </c>
    </row>
  </sheetData>
  <sheetProtection password="DB60" sheet="1" objects="1" scenarios="1"/>
  <pageMargins left="0.35433070866141736" right="0.39370078740157483" top="0.41" bottom="0.27559055118110237" header="0.19685039370078741" footer="0.19685039370078741"/>
  <pageSetup orientation="portrait" useFirstPageNumber="1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>
      <selection activeCell="E12" sqref="E12"/>
    </sheetView>
  </sheetViews>
  <sheetFormatPr defaultColWidth="8.85546875" defaultRowHeight="12.75" x14ac:dyDescent="0.2"/>
  <cols>
    <col min="1" max="1" width="22" style="14" customWidth="1"/>
    <col min="2" max="2" width="17.140625" style="16" customWidth="1"/>
    <col min="3" max="3" width="14.42578125" style="16" customWidth="1"/>
    <col min="4" max="4" width="25.5703125" style="17" customWidth="1"/>
    <col min="5" max="5" width="15" style="17" bestFit="1" customWidth="1"/>
    <col min="8" max="8" width="7.140625" style="14" customWidth="1"/>
    <col min="9" max="16384" width="8.85546875" style="14"/>
  </cols>
  <sheetData>
    <row r="1" spans="1:10" ht="16.5" customHeight="1" x14ac:dyDescent="0.2">
      <c r="A1" s="11" t="s">
        <v>345</v>
      </c>
      <c r="B1" s="12"/>
      <c r="C1" s="12"/>
      <c r="D1" s="13"/>
      <c r="E1" s="13"/>
    </row>
    <row r="2" spans="1:10" ht="16.5" customHeight="1" x14ac:dyDescent="0.2">
      <c r="A2" s="15"/>
    </row>
    <row r="3" spans="1:10" s="19" customFormat="1" x14ac:dyDescent="0.2">
      <c r="A3" s="58" t="s">
        <v>219</v>
      </c>
      <c r="B3" s="59"/>
      <c r="C3" s="59"/>
      <c r="D3" s="60"/>
      <c r="E3" s="60"/>
    </row>
    <row r="4" spans="1:10" x14ac:dyDescent="0.2">
      <c r="A4" s="58"/>
      <c r="B4" s="59"/>
      <c r="C4" s="59"/>
      <c r="D4" s="60"/>
      <c r="E4" s="60"/>
    </row>
    <row r="5" spans="1:10" ht="15" x14ac:dyDescent="0.2">
      <c r="A5" s="56" t="s">
        <v>201</v>
      </c>
      <c r="B5" s="57" t="s">
        <v>75</v>
      </c>
      <c r="C5" s="57" t="s">
        <v>220</v>
      </c>
      <c r="D5" s="57" t="s">
        <v>87</v>
      </c>
      <c r="E5" s="56" t="s">
        <v>317</v>
      </c>
    </row>
    <row r="6" spans="1:10" x14ac:dyDescent="0.2">
      <c r="A6" s="71" t="s">
        <v>76</v>
      </c>
      <c r="B6" s="72">
        <v>0.5</v>
      </c>
      <c r="C6" s="73">
        <v>10</v>
      </c>
      <c r="D6" s="74">
        <f>(1-'02 Coeficientes'!$B$47/100)*C6/SUM('07 Deprec.'!$C$6:$C$16)</f>
        <v>0.15454545454545454</v>
      </c>
      <c r="E6" s="70">
        <f>'04 Frota'!C62</f>
        <v>67</v>
      </c>
      <c r="I6" s="69"/>
      <c r="J6" s="69"/>
    </row>
    <row r="7" spans="1:10" x14ac:dyDescent="0.2">
      <c r="A7" s="71" t="s">
        <v>77</v>
      </c>
      <c r="B7" s="72">
        <v>1.5</v>
      </c>
      <c r="C7" s="73">
        <f>C6-1</f>
        <v>9</v>
      </c>
      <c r="D7" s="74">
        <f>(1-'02 Coeficientes'!$B$47/100)*C7/SUM('07 Deprec.'!$C$6:$C$16)</f>
        <v>0.13909090909090907</v>
      </c>
      <c r="E7" s="70">
        <f>'04 Frota'!C63</f>
        <v>2</v>
      </c>
    </row>
    <row r="8" spans="1:10" x14ac:dyDescent="0.2">
      <c r="A8" s="71" t="s">
        <v>78</v>
      </c>
      <c r="B8" s="72">
        <v>2.5</v>
      </c>
      <c r="C8" s="73">
        <f t="shared" ref="C8:C15" si="0">C7-1</f>
        <v>8</v>
      </c>
      <c r="D8" s="74">
        <f>(1-'02 Coeficientes'!$B$47/100)*C8/SUM('07 Deprec.'!$C$6:$C$16)</f>
        <v>0.12363636363636363</v>
      </c>
      <c r="E8" s="70">
        <f>'04 Frota'!C64</f>
        <v>28</v>
      </c>
    </row>
    <row r="9" spans="1:10" x14ac:dyDescent="0.2">
      <c r="A9" s="71" t="s">
        <v>79</v>
      </c>
      <c r="B9" s="72">
        <v>3.5</v>
      </c>
      <c r="C9" s="73">
        <f t="shared" si="0"/>
        <v>7</v>
      </c>
      <c r="D9" s="74">
        <f>(1-'02 Coeficientes'!$B$47/100)*C9/SUM('07 Deprec.'!$C$6:$C$16)</f>
        <v>0.10818181818181818</v>
      </c>
      <c r="E9" s="70">
        <f>'04 Frota'!C65</f>
        <v>0</v>
      </c>
    </row>
    <row r="10" spans="1:10" x14ac:dyDescent="0.2">
      <c r="A10" s="71" t="s">
        <v>80</v>
      </c>
      <c r="B10" s="72">
        <v>4.5</v>
      </c>
      <c r="C10" s="73">
        <f t="shared" si="0"/>
        <v>6</v>
      </c>
      <c r="D10" s="74">
        <f>(1-'02 Coeficientes'!$B$47/100)*C10/SUM('07 Deprec.'!$C$6:$C$16)</f>
        <v>9.2727272727272728E-2</v>
      </c>
      <c r="E10" s="70">
        <f>'04 Frota'!C66</f>
        <v>92</v>
      </c>
    </row>
    <row r="11" spans="1:10" x14ac:dyDescent="0.2">
      <c r="A11" s="71" t="s">
        <v>81</v>
      </c>
      <c r="B11" s="72">
        <v>5.5</v>
      </c>
      <c r="C11" s="73">
        <f t="shared" si="0"/>
        <v>5</v>
      </c>
      <c r="D11" s="74">
        <f>(1-'02 Coeficientes'!$B$47/100)*C11/SUM('07 Deprec.'!$C$6:$C$16)</f>
        <v>7.7272727272727271E-2</v>
      </c>
      <c r="E11" s="70">
        <f>'04 Frota'!C67</f>
        <v>31</v>
      </c>
    </row>
    <row r="12" spans="1:10" x14ac:dyDescent="0.2">
      <c r="A12" s="71" t="s">
        <v>82</v>
      </c>
      <c r="B12" s="72">
        <v>6.5</v>
      </c>
      <c r="C12" s="73">
        <f t="shared" si="0"/>
        <v>4</v>
      </c>
      <c r="D12" s="74">
        <f>(1-'02 Coeficientes'!$B$47/100)*C12/SUM('07 Deprec.'!$C$6:$C$16)</f>
        <v>6.1818181818181814E-2</v>
      </c>
      <c r="E12" s="70">
        <f>'04 Frota'!C68</f>
        <v>71</v>
      </c>
    </row>
    <row r="13" spans="1:10" x14ac:dyDescent="0.2">
      <c r="A13" s="71" t="s">
        <v>83</v>
      </c>
      <c r="B13" s="72">
        <v>7.5</v>
      </c>
      <c r="C13" s="73">
        <f t="shared" si="0"/>
        <v>3</v>
      </c>
      <c r="D13" s="74">
        <f>(1-'02 Coeficientes'!$B$47/100)*C13/SUM('07 Deprec.'!$C$6:$C$16)</f>
        <v>4.6363636363636364E-2</v>
      </c>
      <c r="E13" s="70">
        <f>'04 Frota'!C69</f>
        <v>26</v>
      </c>
    </row>
    <row r="14" spans="1:10" x14ac:dyDescent="0.2">
      <c r="A14" s="71" t="s">
        <v>84</v>
      </c>
      <c r="B14" s="72">
        <v>8.5</v>
      </c>
      <c r="C14" s="73">
        <f t="shared" si="0"/>
        <v>2</v>
      </c>
      <c r="D14" s="74">
        <f>(1-'02 Coeficientes'!$B$47/100)*C14/SUM('07 Deprec.'!$C$6:$C$16)</f>
        <v>3.0909090909090907E-2</v>
      </c>
      <c r="E14" s="70">
        <f>'04 Frota'!C70</f>
        <v>35</v>
      </c>
    </row>
    <row r="15" spans="1:10" x14ac:dyDescent="0.2">
      <c r="A15" s="71" t="s">
        <v>85</v>
      </c>
      <c r="B15" s="72">
        <v>9.5</v>
      </c>
      <c r="C15" s="73">
        <f t="shared" si="0"/>
        <v>1</v>
      </c>
      <c r="D15" s="74">
        <f>(1-'02 Coeficientes'!$B$47/100)*C15/SUM('07 Deprec.'!$C$6:$C$16)</f>
        <v>1.5454545454545453E-2</v>
      </c>
      <c r="E15" s="70">
        <f>'04 Frota'!C71</f>
        <v>0</v>
      </c>
    </row>
    <row r="16" spans="1:10" x14ac:dyDescent="0.2">
      <c r="A16" s="71" t="s">
        <v>86</v>
      </c>
      <c r="B16" s="72">
        <v>10.5</v>
      </c>
      <c r="C16" s="73">
        <f>C15-1</f>
        <v>0</v>
      </c>
      <c r="D16" s="74">
        <f>(1-'02 Coeficientes'!$B$47/100)*C16/SUM('07 Deprec.'!$C$6:$C$16)</f>
        <v>0</v>
      </c>
      <c r="E16" s="70">
        <f>'04 Frota'!C72</f>
        <v>0</v>
      </c>
    </row>
    <row r="17" spans="1:5" x14ac:dyDescent="0.2">
      <c r="A17" s="752" t="s">
        <v>65</v>
      </c>
      <c r="B17" s="753"/>
      <c r="C17" s="753"/>
      <c r="D17" s="754"/>
      <c r="E17" s="67">
        <f>SUM(E6:E16)</f>
        <v>352</v>
      </c>
    </row>
    <row r="18" spans="1:5" ht="15" customHeight="1" x14ac:dyDescent="0.2">
      <c r="A18" s="761" t="s">
        <v>200</v>
      </c>
      <c r="B18" s="762"/>
      <c r="C18" s="762"/>
      <c r="D18" s="763"/>
      <c r="E18" s="75">
        <f t="shared" ref="E18" si="1">SUMPRODUCT($B$6:$B$16,E6:E16)/E17</f>
        <v>4.6732954545454541</v>
      </c>
    </row>
    <row r="19" spans="1:5" ht="15" customHeight="1" x14ac:dyDescent="0.2">
      <c r="A19" s="761" t="s">
        <v>88</v>
      </c>
      <c r="B19" s="762"/>
      <c r="C19" s="762"/>
      <c r="D19" s="763"/>
      <c r="E19" s="76">
        <f>SUMPRODUCT(E6:E16,$D$6:$D$16)/E17</f>
        <v>9.0049070247933877E-2</v>
      </c>
    </row>
    <row r="20" spans="1:5" ht="15" customHeight="1" x14ac:dyDescent="0.2">
      <c r="A20" s="761" t="s">
        <v>89</v>
      </c>
      <c r="B20" s="762"/>
      <c r="C20" s="762"/>
      <c r="D20" s="763"/>
      <c r="E20" s="76">
        <f>E19*E17/12</f>
        <v>2.6414393939393936</v>
      </c>
    </row>
    <row r="21" spans="1:5" ht="15" customHeight="1" x14ac:dyDescent="0.2">
      <c r="A21" s="761" t="s">
        <v>112</v>
      </c>
      <c r="B21" s="762"/>
      <c r="C21" s="762"/>
      <c r="D21" s="763"/>
      <c r="E21" s="77">
        <f>'05 CustVar'!E50</f>
        <v>9823.5354938226683</v>
      </c>
    </row>
    <row r="22" spans="1:5" ht="15" customHeight="1" x14ac:dyDescent="0.2">
      <c r="A22" s="761" t="s">
        <v>111</v>
      </c>
      <c r="B22" s="762"/>
      <c r="C22" s="762"/>
      <c r="D22" s="763"/>
      <c r="E22" s="77">
        <f>'04 Frota'!H57</f>
        <v>531991.64135421021</v>
      </c>
    </row>
    <row r="23" spans="1:5" ht="15" customHeight="1" x14ac:dyDescent="0.2">
      <c r="A23" s="761" t="s">
        <v>110</v>
      </c>
      <c r="B23" s="762"/>
      <c r="C23" s="762"/>
      <c r="D23" s="763"/>
      <c r="E23" s="77">
        <f>E22-E21</f>
        <v>522168.10586038756</v>
      </c>
    </row>
    <row r="24" spans="1:5" ht="15" customHeight="1" x14ac:dyDescent="0.2">
      <c r="A24" s="761" t="s">
        <v>8</v>
      </c>
      <c r="B24" s="762"/>
      <c r="C24" s="762"/>
      <c r="D24" s="763"/>
      <c r="E24" s="77">
        <f>'03 Dados_Oper'!B14</f>
        <v>5290.5588516464586</v>
      </c>
    </row>
    <row r="25" spans="1:5" ht="15" customHeight="1" x14ac:dyDescent="0.2">
      <c r="A25" s="755" t="s">
        <v>182</v>
      </c>
      <c r="B25" s="756"/>
      <c r="C25" s="756"/>
      <c r="D25" s="757"/>
      <c r="E25" s="52">
        <f>E20*E23/E17/E24</f>
        <v>0.74063934397685649</v>
      </c>
    </row>
    <row r="26" spans="1:5" x14ac:dyDescent="0.2">
      <c r="B26" s="18"/>
      <c r="C26" s="18"/>
      <c r="D26" s="18"/>
    </row>
    <row r="27" spans="1:5" x14ac:dyDescent="0.2">
      <c r="B27" s="18"/>
      <c r="C27" s="18"/>
      <c r="D27" s="18"/>
      <c r="E27" s="16"/>
    </row>
    <row r="28" spans="1:5" ht="15" x14ac:dyDescent="0.2">
      <c r="A28" s="755" t="s">
        <v>277</v>
      </c>
      <c r="B28" s="756"/>
      <c r="C28" s="756"/>
      <c r="D28" s="757"/>
      <c r="E28" s="56" t="s">
        <v>137</v>
      </c>
    </row>
    <row r="29" spans="1:5" x14ac:dyDescent="0.2">
      <c r="A29" s="764" t="s">
        <v>272</v>
      </c>
      <c r="B29" s="759"/>
      <c r="C29" s="759"/>
      <c r="D29" s="760"/>
      <c r="E29" s="78">
        <f>'02 Coeficientes'!$B$48</f>
        <v>3.6999999999999999E-4</v>
      </c>
    </row>
    <row r="30" spans="1:5" ht="15" customHeight="1" x14ac:dyDescent="0.2">
      <c r="A30" s="761" t="s">
        <v>218</v>
      </c>
      <c r="B30" s="762"/>
      <c r="C30" s="762"/>
      <c r="D30" s="763"/>
      <c r="E30" s="77">
        <f>'04 Frota'!H57</f>
        <v>531991.64135421021</v>
      </c>
    </row>
    <row r="31" spans="1:5" ht="15" customHeight="1" x14ac:dyDescent="0.2">
      <c r="A31" s="761" t="s">
        <v>124</v>
      </c>
      <c r="B31" s="762"/>
      <c r="C31" s="762"/>
      <c r="D31" s="763"/>
      <c r="E31" s="77">
        <f>E30*E29</f>
        <v>196.83690730105778</v>
      </c>
    </row>
    <row r="32" spans="1:5" ht="15" customHeight="1" x14ac:dyDescent="0.2">
      <c r="A32" s="761" t="s">
        <v>8</v>
      </c>
      <c r="B32" s="762"/>
      <c r="C32" s="762"/>
      <c r="D32" s="763"/>
      <c r="E32" s="77">
        <f>'03 Dados_Oper'!B14</f>
        <v>5290.5588516464586</v>
      </c>
    </row>
    <row r="33" spans="1:5" ht="15" customHeight="1" x14ac:dyDescent="0.2">
      <c r="A33" s="755" t="s">
        <v>279</v>
      </c>
      <c r="B33" s="756"/>
      <c r="C33" s="756"/>
      <c r="D33" s="757"/>
      <c r="E33" s="52">
        <f>E31/E32</f>
        <v>3.7205314754187216E-2</v>
      </c>
    </row>
    <row r="35" spans="1:5" x14ac:dyDescent="0.2">
      <c r="B35" s="18"/>
      <c r="C35" s="18"/>
      <c r="D35" s="18"/>
      <c r="E35" s="16"/>
    </row>
    <row r="36" spans="1:5" ht="15" x14ac:dyDescent="0.2">
      <c r="A36" s="755" t="s">
        <v>278</v>
      </c>
      <c r="B36" s="756"/>
      <c r="C36" s="756"/>
      <c r="D36" s="757"/>
      <c r="E36" s="56" t="s">
        <v>137</v>
      </c>
    </row>
    <row r="37" spans="1:5" ht="12.75" customHeight="1" x14ac:dyDescent="0.2">
      <c r="A37" s="758" t="s">
        <v>227</v>
      </c>
      <c r="B37" s="759"/>
      <c r="C37" s="759"/>
      <c r="D37" s="760"/>
      <c r="E37" s="78">
        <f>'02 Coeficientes'!$B$49</f>
        <v>5.0000000000000002E-5</v>
      </c>
    </row>
    <row r="38" spans="1:5" ht="15" customHeight="1" x14ac:dyDescent="0.2">
      <c r="A38" s="761" t="s">
        <v>218</v>
      </c>
      <c r="B38" s="762"/>
      <c r="C38" s="762"/>
      <c r="D38" s="763"/>
      <c r="E38" s="77">
        <f>'04 Frota'!H57</f>
        <v>531991.64135421021</v>
      </c>
    </row>
    <row r="39" spans="1:5" ht="15" customHeight="1" x14ac:dyDescent="0.2">
      <c r="A39" s="761" t="s">
        <v>124</v>
      </c>
      <c r="B39" s="762"/>
      <c r="C39" s="762"/>
      <c r="D39" s="763"/>
      <c r="E39" s="77">
        <f>E38*E37</f>
        <v>26.599582067710511</v>
      </c>
    </row>
    <row r="40" spans="1:5" ht="15" customHeight="1" x14ac:dyDescent="0.2">
      <c r="A40" s="761" t="s">
        <v>8</v>
      </c>
      <c r="B40" s="762"/>
      <c r="C40" s="762"/>
      <c r="D40" s="763"/>
      <c r="E40" s="77">
        <f>'03 Dados_Oper'!B14</f>
        <v>5290.5588516464586</v>
      </c>
    </row>
    <row r="41" spans="1:5" ht="15" customHeight="1" x14ac:dyDescent="0.2">
      <c r="A41" s="755" t="s">
        <v>230</v>
      </c>
      <c r="B41" s="756"/>
      <c r="C41" s="756"/>
      <c r="D41" s="757"/>
      <c r="E41" s="52">
        <f>E39/E40</f>
        <v>5.0277452370523267E-3</v>
      </c>
    </row>
    <row r="43" spans="1:5" x14ac:dyDescent="0.2">
      <c r="B43" s="18"/>
      <c r="C43" s="18"/>
      <c r="D43" s="18"/>
      <c r="E43" s="16"/>
    </row>
  </sheetData>
  <sheetProtection password="DB60" sheet="1" objects="1" scenarios="1"/>
  <mergeCells count="21">
    <mergeCell ref="A17:D17"/>
    <mergeCell ref="A28:D28"/>
    <mergeCell ref="A18:D18"/>
    <mergeCell ref="A19:D19"/>
    <mergeCell ref="A20:D20"/>
    <mergeCell ref="A21:D21"/>
    <mergeCell ref="A22:D22"/>
    <mergeCell ref="A23:D23"/>
    <mergeCell ref="A24:D24"/>
    <mergeCell ref="A25:D25"/>
    <mergeCell ref="A29:D29"/>
    <mergeCell ref="A33:D33"/>
    <mergeCell ref="A32:D32"/>
    <mergeCell ref="A31:D31"/>
    <mergeCell ref="A30:D30"/>
    <mergeCell ref="A41:D41"/>
    <mergeCell ref="A36:D36"/>
    <mergeCell ref="A37:D37"/>
    <mergeCell ref="A40:D40"/>
    <mergeCell ref="A39:D39"/>
    <mergeCell ref="A38:D38"/>
  </mergeCells>
  <pageMargins left="0.31496062992125984" right="0.19685039370078741" top="0.35433070866141736" bottom="0.23622047244094491" header="0.19685039370078741" footer="0.19685039370078741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opLeftCell="A7" zoomScaleNormal="100" workbookViewId="0">
      <selection activeCell="E14" sqref="E14"/>
    </sheetView>
  </sheetViews>
  <sheetFormatPr defaultColWidth="8.85546875" defaultRowHeight="12.75" x14ac:dyDescent="0.2"/>
  <cols>
    <col min="1" max="1" width="21.140625" style="14" customWidth="1"/>
    <col min="2" max="2" width="14.85546875" style="16" customWidth="1"/>
    <col min="3" max="3" width="15" style="16" customWidth="1"/>
    <col min="4" max="4" width="16.140625" style="17" customWidth="1"/>
    <col min="5" max="5" width="16.28515625" style="17" customWidth="1"/>
    <col min="6" max="6" width="16.140625" style="17" customWidth="1"/>
    <col min="9" max="9" width="7.140625" style="14" customWidth="1"/>
    <col min="10" max="10" width="9.5703125" style="14" bestFit="1" customWidth="1"/>
    <col min="11" max="16384" width="8.85546875" style="14"/>
  </cols>
  <sheetData>
    <row r="1" spans="1:10" ht="16.5" customHeight="1" x14ac:dyDescent="0.2">
      <c r="A1" s="281" t="s">
        <v>346</v>
      </c>
      <c r="B1" s="282"/>
      <c r="C1" s="282"/>
      <c r="D1" s="283"/>
      <c r="E1" s="283"/>
      <c r="F1" s="283"/>
    </row>
    <row r="2" spans="1:10" ht="16.5" customHeight="1" x14ac:dyDescent="0.2">
      <c r="A2" s="284"/>
      <c r="B2" s="285"/>
      <c r="C2" s="285"/>
      <c r="D2" s="286"/>
      <c r="E2" s="286"/>
      <c r="F2" s="286"/>
    </row>
    <row r="3" spans="1:10" s="19" customFormat="1" x14ac:dyDescent="0.2">
      <c r="A3" s="287" t="s">
        <v>234</v>
      </c>
      <c r="B3" s="288"/>
      <c r="C3" s="288"/>
      <c r="D3" s="289"/>
      <c r="E3" s="289"/>
      <c r="F3" s="289"/>
    </row>
    <row r="4" spans="1:10" x14ac:dyDescent="0.2">
      <c r="A4" s="287"/>
      <c r="B4" s="288"/>
      <c r="C4" s="288"/>
      <c r="D4" s="289"/>
      <c r="E4" s="289"/>
      <c r="F4" s="289"/>
    </row>
    <row r="5" spans="1:10" ht="15" x14ac:dyDescent="0.2">
      <c r="A5" s="56" t="s">
        <v>201</v>
      </c>
      <c r="B5" s="57" t="s">
        <v>75</v>
      </c>
      <c r="C5" s="57" t="s">
        <v>220</v>
      </c>
      <c r="D5" s="57" t="s">
        <v>221</v>
      </c>
      <c r="E5" s="57" t="s">
        <v>240</v>
      </c>
      <c r="F5" s="56" t="s">
        <v>317</v>
      </c>
    </row>
    <row r="6" spans="1:10" x14ac:dyDescent="0.2">
      <c r="A6" s="71" t="s">
        <v>76</v>
      </c>
      <c r="B6" s="72">
        <v>0.5</v>
      </c>
      <c r="C6" s="73">
        <v>10</v>
      </c>
      <c r="D6" s="74">
        <f>(1-(1-'02 Coeficientes'!$B$47/100)*E6/SUM('08 Remun.'!$C$6:$C$16))*'02 Coeficientes'!$B$53/100</f>
        <v>6.2300000000000001E-2</v>
      </c>
      <c r="E6" s="73">
        <v>0</v>
      </c>
      <c r="F6" s="70">
        <f>'07 Deprec.'!E6</f>
        <v>67</v>
      </c>
      <c r="J6" s="66"/>
    </row>
    <row r="7" spans="1:10" x14ac:dyDescent="0.2">
      <c r="A7" s="71" t="s">
        <v>77</v>
      </c>
      <c r="B7" s="72">
        <v>1.5</v>
      </c>
      <c r="C7" s="73">
        <f>C6-1</f>
        <v>9</v>
      </c>
      <c r="D7" s="74">
        <f>(1-(1-'02 Coeficientes'!$B$47/100)*E7/SUM('08 Remun.'!$C$6:$C$16))*'02 Coeficientes'!$B$53/100</f>
        <v>5.2671818181818181E-2</v>
      </c>
      <c r="E7" s="73">
        <f>C6+E6</f>
        <v>10</v>
      </c>
      <c r="F7" s="70">
        <f>'07 Deprec.'!E7</f>
        <v>2</v>
      </c>
      <c r="J7" s="66"/>
    </row>
    <row r="8" spans="1:10" x14ac:dyDescent="0.2">
      <c r="A8" s="71" t="s">
        <v>78</v>
      </c>
      <c r="B8" s="72">
        <v>2.5</v>
      </c>
      <c r="C8" s="73">
        <f t="shared" ref="C8:C15" si="0">C7-1</f>
        <v>8</v>
      </c>
      <c r="D8" s="74">
        <f>(1-(1-'02 Coeficientes'!$B$47/100)*E8/SUM('08 Remun.'!$C$6:$C$16))*'02 Coeficientes'!$B$53/100</f>
        <v>4.4006454545454557E-2</v>
      </c>
      <c r="E8" s="73">
        <f>C7+E7</f>
        <v>19</v>
      </c>
      <c r="F8" s="70">
        <f>'07 Deprec.'!E8</f>
        <v>28</v>
      </c>
      <c r="J8" s="66"/>
    </row>
    <row r="9" spans="1:10" x14ac:dyDescent="0.2">
      <c r="A9" s="71" t="s">
        <v>79</v>
      </c>
      <c r="B9" s="72">
        <v>3.5</v>
      </c>
      <c r="C9" s="73">
        <f t="shared" si="0"/>
        <v>7</v>
      </c>
      <c r="D9" s="74">
        <f>(1-(1-'02 Coeficientes'!$B$47/100)*E9/SUM('08 Remun.'!$C$6:$C$16))*'02 Coeficientes'!$B$53/100</f>
        <v>3.6303909090909095E-2</v>
      </c>
      <c r="E9" s="73">
        <f t="shared" ref="E9:E16" si="1">C8+E8</f>
        <v>27</v>
      </c>
      <c r="F9" s="70">
        <f>'07 Deprec.'!E9</f>
        <v>0</v>
      </c>
      <c r="J9" s="66"/>
    </row>
    <row r="10" spans="1:10" x14ac:dyDescent="0.2">
      <c r="A10" s="71" t="s">
        <v>80</v>
      </c>
      <c r="B10" s="72">
        <v>4.5</v>
      </c>
      <c r="C10" s="73">
        <f t="shared" si="0"/>
        <v>6</v>
      </c>
      <c r="D10" s="74">
        <f>(1-(1-'02 Coeficientes'!$B$47/100)*E10/SUM('08 Remun.'!$C$6:$C$16))*'02 Coeficientes'!$B$53/100</f>
        <v>2.9564181818181826E-2</v>
      </c>
      <c r="E10" s="73">
        <f t="shared" si="1"/>
        <v>34</v>
      </c>
      <c r="F10" s="70">
        <f>'07 Deprec.'!E10</f>
        <v>92</v>
      </c>
      <c r="J10" s="66"/>
    </row>
    <row r="11" spans="1:10" x14ac:dyDescent="0.2">
      <c r="A11" s="71" t="s">
        <v>81</v>
      </c>
      <c r="B11" s="72">
        <v>5.5</v>
      </c>
      <c r="C11" s="73">
        <f t="shared" si="0"/>
        <v>5</v>
      </c>
      <c r="D11" s="74">
        <f>(1-(1-'02 Coeficientes'!$B$47/100)*E11/SUM('08 Remun.'!$C$6:$C$16))*'02 Coeficientes'!$B$53/100</f>
        <v>2.3787272727272726E-2</v>
      </c>
      <c r="E11" s="73">
        <f t="shared" si="1"/>
        <v>40</v>
      </c>
      <c r="F11" s="70">
        <f>'07 Deprec.'!E11</f>
        <v>31</v>
      </c>
      <c r="J11" s="66"/>
    </row>
    <row r="12" spans="1:10" x14ac:dyDescent="0.2">
      <c r="A12" s="71" t="s">
        <v>82</v>
      </c>
      <c r="B12" s="72">
        <v>6.5</v>
      </c>
      <c r="C12" s="73">
        <f t="shared" si="0"/>
        <v>4</v>
      </c>
      <c r="D12" s="74">
        <f>(1-(1-'02 Coeficientes'!$B$47/100)*E12/SUM('08 Remun.'!$C$6:$C$16))*'02 Coeficientes'!$B$53/100</f>
        <v>1.897318181818182E-2</v>
      </c>
      <c r="E12" s="73">
        <f t="shared" si="1"/>
        <v>45</v>
      </c>
      <c r="F12" s="70">
        <f>'07 Deprec.'!E12</f>
        <v>71</v>
      </c>
      <c r="J12" s="66"/>
    </row>
    <row r="13" spans="1:10" x14ac:dyDescent="0.2">
      <c r="A13" s="71" t="s">
        <v>83</v>
      </c>
      <c r="B13" s="72">
        <v>7.5</v>
      </c>
      <c r="C13" s="73">
        <f t="shared" si="0"/>
        <v>3</v>
      </c>
      <c r="D13" s="74">
        <f>(1-(1-'02 Coeficientes'!$B$47/100)*E13/SUM('08 Remun.'!$C$6:$C$16))*'02 Coeficientes'!$B$53/100</f>
        <v>1.5121909090909096E-2</v>
      </c>
      <c r="E13" s="73">
        <f t="shared" si="1"/>
        <v>49</v>
      </c>
      <c r="F13" s="70">
        <f>'07 Deprec.'!E13</f>
        <v>26</v>
      </c>
      <c r="J13" s="66"/>
    </row>
    <row r="14" spans="1:10" x14ac:dyDescent="0.2">
      <c r="A14" s="71" t="s">
        <v>84</v>
      </c>
      <c r="B14" s="72">
        <v>8.5</v>
      </c>
      <c r="C14" s="73">
        <f t="shared" si="0"/>
        <v>2</v>
      </c>
      <c r="D14" s="74">
        <f>(1-(1-'02 Coeficientes'!$B$47/100)*E14/SUM('08 Remun.'!$C$6:$C$16))*'02 Coeficientes'!$B$53/100</f>
        <v>1.2233454545454549E-2</v>
      </c>
      <c r="E14" s="73">
        <f t="shared" si="1"/>
        <v>52</v>
      </c>
      <c r="F14" s="70">
        <f>'07 Deprec.'!E14</f>
        <v>35</v>
      </c>
      <c r="J14" s="66"/>
    </row>
    <row r="15" spans="1:10" x14ac:dyDescent="0.2">
      <c r="A15" s="71" t="s">
        <v>85</v>
      </c>
      <c r="B15" s="72">
        <v>9.5</v>
      </c>
      <c r="C15" s="73">
        <f t="shared" si="0"/>
        <v>1</v>
      </c>
      <c r="D15" s="74">
        <f>(1-(1-'02 Coeficientes'!$B$47/100)*E15/SUM('08 Remun.'!$C$6:$C$16))*'02 Coeficientes'!$B$53/100</f>
        <v>1.0307818181818187E-2</v>
      </c>
      <c r="E15" s="73">
        <f t="shared" si="1"/>
        <v>54</v>
      </c>
      <c r="F15" s="70">
        <f>'07 Deprec.'!E15</f>
        <v>0</v>
      </c>
      <c r="J15" s="66"/>
    </row>
    <row r="16" spans="1:10" x14ac:dyDescent="0.2">
      <c r="A16" s="71" t="s">
        <v>86</v>
      </c>
      <c r="B16" s="72">
        <v>10.5</v>
      </c>
      <c r="C16" s="73">
        <f>C15-1</f>
        <v>0</v>
      </c>
      <c r="D16" s="74">
        <f>(1-(1-'02 Coeficientes'!$B$47/100)*E16/SUM('08 Remun.'!$C$6:$C$16))*'02 Coeficientes'!$B$53/100</f>
        <v>9.3450000000000026E-3</v>
      </c>
      <c r="E16" s="73">
        <f t="shared" si="1"/>
        <v>55</v>
      </c>
      <c r="F16" s="70">
        <f>'07 Deprec.'!E16</f>
        <v>0</v>
      </c>
      <c r="J16" s="66"/>
    </row>
    <row r="17" spans="1:6" x14ac:dyDescent="0.2">
      <c r="A17" s="765" t="s">
        <v>65</v>
      </c>
      <c r="B17" s="766"/>
      <c r="C17" s="766"/>
      <c r="D17" s="766"/>
      <c r="E17" s="767"/>
      <c r="F17" s="67">
        <f>SUM(F6:F16)</f>
        <v>352</v>
      </c>
    </row>
    <row r="18" spans="1:6" ht="15" customHeight="1" x14ac:dyDescent="0.2">
      <c r="A18" s="761" t="s">
        <v>200</v>
      </c>
      <c r="B18" s="762"/>
      <c r="C18" s="762"/>
      <c r="D18" s="762"/>
      <c r="E18" s="763"/>
      <c r="F18" s="75">
        <f>SUMPRODUCT($B$6:$B$16,F6:F16)/F17</f>
        <v>4.6732954545454541</v>
      </c>
    </row>
    <row r="19" spans="1:6" ht="15" customHeight="1" x14ac:dyDescent="0.2">
      <c r="A19" s="761" t="s">
        <v>223</v>
      </c>
      <c r="B19" s="762"/>
      <c r="C19" s="762"/>
      <c r="D19" s="762"/>
      <c r="E19" s="763"/>
      <c r="F19" s="76">
        <f>SUMPRODUCT(F6:F16,$D$6:$D$16)/F17</f>
        <v>3.1640258522727276E-2</v>
      </c>
    </row>
    <row r="20" spans="1:6" ht="15" customHeight="1" x14ac:dyDescent="0.2">
      <c r="A20" s="761" t="s">
        <v>224</v>
      </c>
      <c r="B20" s="762"/>
      <c r="C20" s="762"/>
      <c r="D20" s="762"/>
      <c r="E20" s="763"/>
      <c r="F20" s="76">
        <f>F19*F17/12</f>
        <v>0.92811425000000014</v>
      </c>
    </row>
    <row r="21" spans="1:6" ht="15" customHeight="1" x14ac:dyDescent="0.2">
      <c r="A21" s="761" t="s">
        <v>112</v>
      </c>
      <c r="B21" s="762"/>
      <c r="C21" s="762"/>
      <c r="D21" s="762"/>
      <c r="E21" s="763"/>
      <c r="F21" s="77">
        <f>'05 CustVar'!E50</f>
        <v>9823.5354938226683</v>
      </c>
    </row>
    <row r="22" spans="1:6" ht="15" customHeight="1" x14ac:dyDescent="0.2">
      <c r="A22" s="768" t="s">
        <v>218</v>
      </c>
      <c r="B22" s="762"/>
      <c r="C22" s="762"/>
      <c r="D22" s="762"/>
      <c r="E22" s="763"/>
      <c r="F22" s="77">
        <f>'04 Frota'!H57</f>
        <v>531991.64135421021</v>
      </c>
    </row>
    <row r="23" spans="1:6" ht="15" customHeight="1" x14ac:dyDescent="0.2">
      <c r="A23" s="761" t="s">
        <v>110</v>
      </c>
      <c r="B23" s="762"/>
      <c r="C23" s="762"/>
      <c r="D23" s="762"/>
      <c r="E23" s="763"/>
      <c r="F23" s="77">
        <f>F22-F21</f>
        <v>522168.10586038756</v>
      </c>
    </row>
    <row r="24" spans="1:6" ht="15" customHeight="1" x14ac:dyDescent="0.2">
      <c r="A24" s="761" t="s">
        <v>8</v>
      </c>
      <c r="B24" s="762"/>
      <c r="C24" s="762"/>
      <c r="D24" s="762"/>
      <c r="E24" s="763"/>
      <c r="F24" s="77">
        <f>'03 Dados_Oper'!B14</f>
        <v>5290.5588516464586</v>
      </c>
    </row>
    <row r="25" spans="1:6" ht="15" customHeight="1" x14ac:dyDescent="0.2">
      <c r="A25" s="755" t="s">
        <v>222</v>
      </c>
      <c r="B25" s="756"/>
      <c r="C25" s="756"/>
      <c r="D25" s="756"/>
      <c r="E25" s="757"/>
      <c r="F25" s="52">
        <f>F20*F23/F17/F24</f>
        <v>0.26023611627537657</v>
      </c>
    </row>
    <row r="26" spans="1:6" x14ac:dyDescent="0.2">
      <c r="A26" s="290"/>
      <c r="B26" s="291"/>
      <c r="C26" s="291"/>
      <c r="D26" s="291"/>
      <c r="E26" s="291"/>
      <c r="F26" s="286"/>
    </row>
    <row r="27" spans="1:6" x14ac:dyDescent="0.2">
      <c r="A27" s="290"/>
      <c r="B27" s="291"/>
      <c r="C27" s="291"/>
      <c r="D27" s="291"/>
      <c r="E27" s="291"/>
      <c r="F27" s="285"/>
    </row>
    <row r="28" spans="1:6" ht="15" x14ac:dyDescent="0.2">
      <c r="A28" s="755" t="s">
        <v>280</v>
      </c>
      <c r="B28" s="756"/>
      <c r="C28" s="756"/>
      <c r="D28" s="756"/>
      <c r="E28" s="757"/>
      <c r="F28" s="56" t="s">
        <v>317</v>
      </c>
    </row>
    <row r="29" spans="1:6" ht="12.75" customHeight="1" x14ac:dyDescent="0.2">
      <c r="A29" s="764" t="s">
        <v>263</v>
      </c>
      <c r="B29" s="759"/>
      <c r="C29" s="759"/>
      <c r="D29" s="759"/>
      <c r="E29" s="760"/>
      <c r="F29" s="78">
        <f>'02 Coeficientes'!B50</f>
        <v>1.56E-3</v>
      </c>
    </row>
    <row r="30" spans="1:6" ht="15" customHeight="1" x14ac:dyDescent="0.2">
      <c r="A30" s="761" t="s">
        <v>218</v>
      </c>
      <c r="B30" s="762"/>
      <c r="C30" s="762"/>
      <c r="D30" s="762"/>
      <c r="E30" s="763"/>
      <c r="F30" s="77">
        <f>F22</f>
        <v>531991.64135421021</v>
      </c>
    </row>
    <row r="31" spans="1:6" ht="15" customHeight="1" x14ac:dyDescent="0.2">
      <c r="A31" s="761" t="s">
        <v>225</v>
      </c>
      <c r="B31" s="762"/>
      <c r="C31" s="762"/>
      <c r="D31" s="762"/>
      <c r="E31" s="763"/>
      <c r="F31" s="77">
        <f>F30*F29</f>
        <v>829.90696051256793</v>
      </c>
    </row>
    <row r="32" spans="1:6" ht="15" customHeight="1" x14ac:dyDescent="0.2">
      <c r="A32" s="761" t="s">
        <v>8</v>
      </c>
      <c r="B32" s="762"/>
      <c r="C32" s="762"/>
      <c r="D32" s="762"/>
      <c r="E32" s="763"/>
      <c r="F32" s="77">
        <f>F24</f>
        <v>5290.5588516464586</v>
      </c>
    </row>
    <row r="33" spans="1:6" ht="15" customHeight="1" x14ac:dyDescent="0.2">
      <c r="A33" s="755" t="s">
        <v>231</v>
      </c>
      <c r="B33" s="756"/>
      <c r="C33" s="756"/>
      <c r="D33" s="756"/>
      <c r="E33" s="757"/>
      <c r="F33" s="52">
        <f>F31/F32</f>
        <v>0.15686565139603259</v>
      </c>
    </row>
    <row r="34" spans="1:6" x14ac:dyDescent="0.2">
      <c r="A34" s="290"/>
      <c r="B34" s="285"/>
      <c r="C34" s="285"/>
      <c r="D34" s="286"/>
      <c r="E34" s="286"/>
      <c r="F34" s="286"/>
    </row>
    <row r="35" spans="1:6" x14ac:dyDescent="0.2">
      <c r="A35" s="290"/>
      <c r="B35" s="291"/>
      <c r="C35" s="291"/>
      <c r="D35" s="291"/>
      <c r="E35" s="291"/>
      <c r="F35" s="285"/>
    </row>
    <row r="36" spans="1:6" ht="15" x14ac:dyDescent="0.2">
      <c r="A36" s="755" t="s">
        <v>281</v>
      </c>
      <c r="B36" s="756"/>
      <c r="C36" s="756"/>
      <c r="D36" s="756"/>
      <c r="E36" s="757"/>
      <c r="F36" s="56" t="s">
        <v>317</v>
      </c>
    </row>
    <row r="37" spans="1:6" ht="12.75" customHeight="1" x14ac:dyDescent="0.2">
      <c r="A37" s="764" t="s">
        <v>235</v>
      </c>
      <c r="B37" s="759"/>
      <c r="C37" s="759"/>
      <c r="D37" s="759"/>
      <c r="E37" s="760"/>
      <c r="F37" s="78">
        <f>'02 Coeficientes'!B51</f>
        <v>4.0000000000000003E-5</v>
      </c>
    </row>
    <row r="38" spans="1:6" ht="15" customHeight="1" x14ac:dyDescent="0.2">
      <c r="A38" s="761" t="s">
        <v>218</v>
      </c>
      <c r="B38" s="762"/>
      <c r="C38" s="762"/>
      <c r="D38" s="762"/>
      <c r="E38" s="763"/>
      <c r="F38" s="77">
        <f>F22</f>
        <v>531991.64135421021</v>
      </c>
    </row>
    <row r="39" spans="1:6" ht="15" customHeight="1" x14ac:dyDescent="0.2">
      <c r="A39" s="761" t="s">
        <v>225</v>
      </c>
      <c r="B39" s="762"/>
      <c r="C39" s="762"/>
      <c r="D39" s="762"/>
      <c r="E39" s="763"/>
      <c r="F39" s="77">
        <f>F38*F37</f>
        <v>21.279665654168411</v>
      </c>
    </row>
    <row r="40" spans="1:6" ht="15" customHeight="1" x14ac:dyDescent="0.2">
      <c r="A40" s="761" t="s">
        <v>8</v>
      </c>
      <c r="B40" s="762"/>
      <c r="C40" s="762"/>
      <c r="D40" s="762"/>
      <c r="E40" s="763"/>
      <c r="F40" s="77">
        <f>F24</f>
        <v>5290.5588516464586</v>
      </c>
    </row>
    <row r="41" spans="1:6" ht="15" customHeight="1" x14ac:dyDescent="0.2">
      <c r="A41" s="755" t="s">
        <v>236</v>
      </c>
      <c r="B41" s="756"/>
      <c r="C41" s="756"/>
      <c r="D41" s="756"/>
      <c r="E41" s="757"/>
      <c r="F41" s="52">
        <f>F39/F40</f>
        <v>4.0221961896418617E-3</v>
      </c>
    </row>
    <row r="42" spans="1:6" x14ac:dyDescent="0.2">
      <c r="A42" s="290"/>
      <c r="B42" s="285"/>
      <c r="C42" s="285"/>
      <c r="D42" s="286"/>
      <c r="E42" s="286"/>
      <c r="F42" s="286"/>
    </row>
    <row r="43" spans="1:6" x14ac:dyDescent="0.2">
      <c r="A43" s="290"/>
      <c r="B43" s="291"/>
      <c r="C43" s="291"/>
      <c r="D43" s="291"/>
      <c r="E43" s="291"/>
      <c r="F43" s="285"/>
    </row>
    <row r="44" spans="1:6" ht="15" x14ac:dyDescent="0.2">
      <c r="A44" s="755" t="s">
        <v>282</v>
      </c>
      <c r="B44" s="756"/>
      <c r="C44" s="756"/>
      <c r="D44" s="756"/>
      <c r="E44" s="757"/>
      <c r="F44" s="56" t="s">
        <v>317</v>
      </c>
    </row>
    <row r="45" spans="1:6" ht="12.75" customHeight="1" x14ac:dyDescent="0.2">
      <c r="A45" s="764" t="s">
        <v>232</v>
      </c>
      <c r="B45" s="759"/>
      <c r="C45" s="759"/>
      <c r="D45" s="759"/>
      <c r="E45" s="760"/>
      <c r="F45" s="78">
        <f>'02 Coeficientes'!B52</f>
        <v>3.0000000000000001E-5</v>
      </c>
    </row>
    <row r="46" spans="1:6" ht="15" customHeight="1" x14ac:dyDescent="0.2">
      <c r="A46" s="761" t="s">
        <v>218</v>
      </c>
      <c r="B46" s="762"/>
      <c r="C46" s="762"/>
      <c r="D46" s="762"/>
      <c r="E46" s="763"/>
      <c r="F46" s="77">
        <f>F38</f>
        <v>531991.64135421021</v>
      </c>
    </row>
    <row r="47" spans="1:6" ht="15" customHeight="1" x14ac:dyDescent="0.2">
      <c r="A47" s="761" t="s">
        <v>225</v>
      </c>
      <c r="B47" s="762"/>
      <c r="C47" s="762"/>
      <c r="D47" s="762"/>
      <c r="E47" s="763"/>
      <c r="F47" s="77">
        <f t="shared" ref="F47" si="2">F46*F45</f>
        <v>15.959749240626307</v>
      </c>
    </row>
    <row r="48" spans="1:6" ht="15" customHeight="1" x14ac:dyDescent="0.2">
      <c r="A48" s="761" t="s">
        <v>8</v>
      </c>
      <c r="B48" s="762"/>
      <c r="C48" s="762"/>
      <c r="D48" s="762"/>
      <c r="E48" s="763"/>
      <c r="F48" s="77">
        <f>F40</f>
        <v>5290.5588516464586</v>
      </c>
    </row>
    <row r="49" spans="1:6" ht="15" customHeight="1" x14ac:dyDescent="0.2">
      <c r="A49" s="755" t="s">
        <v>233</v>
      </c>
      <c r="B49" s="756"/>
      <c r="C49" s="756"/>
      <c r="D49" s="756"/>
      <c r="E49" s="757"/>
      <c r="F49" s="52">
        <f>F47/F48</f>
        <v>3.0166471422313963E-3</v>
      </c>
    </row>
    <row r="51" spans="1:6" x14ac:dyDescent="0.2">
      <c r="B51" s="18"/>
      <c r="C51" s="18"/>
      <c r="D51" s="18"/>
      <c r="E51" s="18"/>
      <c r="F51" s="16"/>
    </row>
  </sheetData>
  <sheetProtection password="DB60" sheet="1" objects="1" scenarios="1"/>
  <mergeCells count="27">
    <mergeCell ref="A38:E38"/>
    <mergeCell ref="A39:E39"/>
    <mergeCell ref="A40:E40"/>
    <mergeCell ref="A41:E41"/>
    <mergeCell ref="A31:E31"/>
    <mergeCell ref="A32:E32"/>
    <mergeCell ref="A33:E33"/>
    <mergeCell ref="A36:E36"/>
    <mergeCell ref="A37:E37"/>
    <mergeCell ref="A25:E25"/>
    <mergeCell ref="A17:E17"/>
    <mergeCell ref="A28:E28"/>
    <mergeCell ref="A29:E29"/>
    <mergeCell ref="A30:E30"/>
    <mergeCell ref="A20:E20"/>
    <mergeCell ref="A21:E21"/>
    <mergeCell ref="A22:E22"/>
    <mergeCell ref="A23:E23"/>
    <mergeCell ref="A24:E24"/>
    <mergeCell ref="A18:E18"/>
    <mergeCell ref="A19:E19"/>
    <mergeCell ref="A48:E48"/>
    <mergeCell ref="A49:E49"/>
    <mergeCell ref="A44:E44"/>
    <mergeCell ref="A45:E45"/>
    <mergeCell ref="A46:E46"/>
    <mergeCell ref="A47:E47"/>
  </mergeCells>
  <pageMargins left="0.31496062992125984" right="0.19685039370078741" top="0.39370078740157483" bottom="0.23622047244094491" header="0.19685039370078741" footer="0.19685039370078741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zoomScaleNormal="100" workbookViewId="0">
      <selection activeCell="D4" sqref="D4"/>
    </sheetView>
  </sheetViews>
  <sheetFormatPr defaultColWidth="8.85546875" defaultRowHeight="12.75" x14ac:dyDescent="0.2"/>
  <cols>
    <col min="1" max="1" width="48.5703125" style="31" customWidth="1"/>
    <col min="2" max="2" width="11.28515625" style="31" bestFit="1" customWidth="1"/>
    <col min="3" max="3" width="12.85546875" style="31" bestFit="1" customWidth="1"/>
    <col min="4" max="4" width="12.7109375" style="31" customWidth="1"/>
    <col min="5" max="5" width="16.5703125" style="31" customWidth="1"/>
    <col min="8" max="16384" width="8.85546875" style="31"/>
  </cols>
  <sheetData>
    <row r="1" spans="1:5" ht="15.75" x14ac:dyDescent="0.25">
      <c r="A1" s="103" t="s">
        <v>283</v>
      </c>
      <c r="B1" s="104"/>
      <c r="C1" s="104"/>
      <c r="D1" s="104"/>
      <c r="E1" s="104"/>
    </row>
    <row r="2" spans="1:5" x14ac:dyDescent="0.2">
      <c r="A2" s="106"/>
      <c r="B2" s="106"/>
      <c r="C2" s="106"/>
      <c r="D2" s="106"/>
      <c r="E2" s="106"/>
    </row>
    <row r="3" spans="1:5" ht="15" x14ac:dyDescent="0.25">
      <c r="A3" s="33" t="s">
        <v>273</v>
      </c>
      <c r="B3" s="43" t="s">
        <v>4</v>
      </c>
      <c r="C3" s="43" t="s">
        <v>210</v>
      </c>
      <c r="D3" s="43" t="s">
        <v>114</v>
      </c>
      <c r="E3" s="43" t="s">
        <v>318</v>
      </c>
    </row>
    <row r="4" spans="1:5" x14ac:dyDescent="0.2">
      <c r="A4" s="84" t="s">
        <v>115</v>
      </c>
      <c r="B4" s="85">
        <f>'01 Preços'!B12</f>
        <v>2168.4499999999998</v>
      </c>
      <c r="C4" s="85">
        <f>'02 Coeficientes'!$B$56</f>
        <v>4.29</v>
      </c>
      <c r="D4" s="88">
        <f>'02 Coeficientes'!$B$55</f>
        <v>42.1</v>
      </c>
      <c r="E4" s="87">
        <f>'03 Dados_Oper'!B5</f>
        <v>2.3268</v>
      </c>
    </row>
    <row r="5" spans="1:5" x14ac:dyDescent="0.2">
      <c r="A5" s="84" t="s">
        <v>116</v>
      </c>
      <c r="B5" s="85">
        <f>'01 Preços'!B13</f>
        <v>1302.76</v>
      </c>
      <c r="C5" s="85">
        <f>'02 Coeficientes'!$B$56</f>
        <v>4.29</v>
      </c>
      <c r="D5" s="88">
        <f>'02 Coeficientes'!$B$55</f>
        <v>42.1</v>
      </c>
      <c r="E5" s="87">
        <f t="shared" ref="E5" si="0">E4</f>
        <v>2.3268</v>
      </c>
    </row>
    <row r="6" spans="1:5" x14ac:dyDescent="0.2">
      <c r="A6" s="84" t="s">
        <v>117</v>
      </c>
      <c r="B6" s="85">
        <f>'01 Preços'!B14</f>
        <v>2168.4499999999998</v>
      </c>
      <c r="C6" s="85">
        <f>'02 Coeficientes'!$B$56</f>
        <v>4.29</v>
      </c>
      <c r="D6" s="88">
        <f>'02 Coeficientes'!$B$55</f>
        <v>42.1</v>
      </c>
      <c r="E6" s="87">
        <f>'02 Coeficientes'!$B$72</f>
        <v>0.2</v>
      </c>
    </row>
    <row r="7" spans="1:5" ht="15" x14ac:dyDescent="0.25">
      <c r="A7" s="781" t="s">
        <v>171</v>
      </c>
      <c r="B7" s="782"/>
      <c r="C7" s="782"/>
      <c r="D7" s="783"/>
      <c r="E7" s="44">
        <f>$B$4*(1+$C$4/100)*(1+$D$4/100)*E4+$B$5*(1+$C$5/100)*(1+$D$5/100)*E5+$B$6*(1+$C$6/100)*(1+$D$6/100)*E6</f>
        <v>12612.230355690164</v>
      </c>
    </row>
    <row r="8" spans="1:5" x14ac:dyDescent="0.2">
      <c r="A8" s="778" t="s">
        <v>150</v>
      </c>
      <c r="B8" s="779"/>
      <c r="C8" s="779"/>
      <c r="D8" s="780"/>
      <c r="E8" s="85">
        <f>'03 Dados_Oper'!B13</f>
        <v>5819.6147368111042</v>
      </c>
    </row>
    <row r="9" spans="1:5" ht="15" x14ac:dyDescent="0.25">
      <c r="A9" s="781" t="s">
        <v>151</v>
      </c>
      <c r="B9" s="782"/>
      <c r="C9" s="782"/>
      <c r="D9" s="783"/>
      <c r="E9" s="45">
        <f>E7/E8</f>
        <v>2.1671933497441649</v>
      </c>
    </row>
    <row r="10" spans="1:5" ht="15" x14ac:dyDescent="0.25">
      <c r="A10" s="36" t="s">
        <v>118</v>
      </c>
      <c r="B10" s="37"/>
      <c r="C10" s="37"/>
      <c r="D10" s="37"/>
      <c r="E10" s="37"/>
    </row>
    <row r="11" spans="1:5" ht="15" x14ac:dyDescent="0.25">
      <c r="A11" s="775" t="s">
        <v>274</v>
      </c>
      <c r="B11" s="776"/>
      <c r="C11" s="776"/>
      <c r="D11" s="777"/>
      <c r="E11" s="43" t="s">
        <v>317</v>
      </c>
    </row>
    <row r="12" spans="1:5" x14ac:dyDescent="0.2">
      <c r="A12" s="769" t="s">
        <v>271</v>
      </c>
      <c r="B12" s="770"/>
      <c r="C12" s="770"/>
      <c r="D12" s="771"/>
      <c r="E12" s="89">
        <f>'02 Coeficientes'!$B$73</f>
        <v>0.1074</v>
      </c>
    </row>
    <row r="13" spans="1:5" x14ac:dyDescent="0.2">
      <c r="A13" s="778" t="s">
        <v>153</v>
      </c>
      <c r="B13" s="779"/>
      <c r="C13" s="779"/>
      <c r="D13" s="780"/>
      <c r="E13" s="85">
        <f>E7</f>
        <v>12612.230355690164</v>
      </c>
    </row>
    <row r="14" spans="1:5" ht="15" x14ac:dyDescent="0.25">
      <c r="A14" s="781" t="s">
        <v>171</v>
      </c>
      <c r="B14" s="782"/>
      <c r="C14" s="782"/>
      <c r="D14" s="783"/>
      <c r="E14" s="55">
        <f>E12*E13</f>
        <v>1354.5535402011235</v>
      </c>
    </row>
    <row r="15" spans="1:5" x14ac:dyDescent="0.2">
      <c r="A15" s="778" t="s">
        <v>150</v>
      </c>
      <c r="B15" s="779"/>
      <c r="C15" s="779"/>
      <c r="D15" s="780"/>
      <c r="E15" s="85">
        <f>E8</f>
        <v>5819.6147368111042</v>
      </c>
    </row>
    <row r="16" spans="1:5" ht="15" x14ac:dyDescent="0.25">
      <c r="A16" s="781" t="s">
        <v>152</v>
      </c>
      <c r="B16" s="782"/>
      <c r="C16" s="782"/>
      <c r="D16" s="783"/>
      <c r="E16" s="45">
        <f>E14/E15</f>
        <v>0.23275656576252329</v>
      </c>
    </row>
    <row r="17" spans="1:5" ht="15" x14ac:dyDescent="0.25">
      <c r="A17" s="36" t="s">
        <v>118</v>
      </c>
      <c r="B17" s="37"/>
      <c r="C17" s="37"/>
      <c r="D17" s="37"/>
      <c r="E17" s="37"/>
    </row>
    <row r="18" spans="1:5" ht="15" x14ac:dyDescent="0.25">
      <c r="A18" s="755" t="s">
        <v>275</v>
      </c>
      <c r="B18" s="756"/>
      <c r="C18" s="756"/>
      <c r="D18" s="757"/>
      <c r="E18" s="43" t="s">
        <v>318</v>
      </c>
    </row>
    <row r="19" spans="1:5" x14ac:dyDescent="0.2">
      <c r="A19" s="778" t="s">
        <v>115</v>
      </c>
      <c r="B19" s="779"/>
      <c r="C19" s="779"/>
      <c r="D19" s="780"/>
      <c r="E19" s="87">
        <f>E4</f>
        <v>2.3268</v>
      </c>
    </row>
    <row r="20" spans="1:5" x14ac:dyDescent="0.2">
      <c r="A20" s="778" t="s">
        <v>116</v>
      </c>
      <c r="B20" s="779"/>
      <c r="C20" s="779"/>
      <c r="D20" s="780"/>
      <c r="E20" s="87">
        <f>E5</f>
        <v>2.3268</v>
      </c>
    </row>
    <row r="21" spans="1:5" x14ac:dyDescent="0.2">
      <c r="A21" s="778" t="s">
        <v>117</v>
      </c>
      <c r="B21" s="779"/>
      <c r="C21" s="779"/>
      <c r="D21" s="780"/>
      <c r="E21" s="87">
        <f t="shared" ref="E21" si="1">E6</f>
        <v>0.2</v>
      </c>
    </row>
    <row r="22" spans="1:5" ht="15" x14ac:dyDescent="0.25">
      <c r="A22" s="781" t="s">
        <v>171</v>
      </c>
      <c r="B22" s="782"/>
      <c r="C22" s="782"/>
      <c r="D22" s="783"/>
      <c r="E22" s="44">
        <f>'01 Preços'!$B$15*'02 Coeficientes'!$B$57*('02 Coeficientes'!$B$58/100)*(1-('02 Coeficientes'!$B$59/100))*'09 CustosPessoal'!E19*2+'01 Preços'!$B$15*'02 Coeficientes'!$B$57*'02 Coeficientes'!$B$58/100*(1-('02 Coeficientes'!$B$59/100))*'09 CustosPessoal'!E21</f>
        <v>1528.884</v>
      </c>
    </row>
    <row r="23" spans="1:5" x14ac:dyDescent="0.2">
      <c r="A23" s="778" t="s">
        <v>150</v>
      </c>
      <c r="B23" s="779"/>
      <c r="C23" s="779"/>
      <c r="D23" s="780"/>
      <c r="E23" s="85">
        <f>E15</f>
        <v>5819.6147368111042</v>
      </c>
    </row>
    <row r="24" spans="1:5" ht="15" x14ac:dyDescent="0.25">
      <c r="A24" s="781" t="s">
        <v>154</v>
      </c>
      <c r="B24" s="782"/>
      <c r="C24" s="782"/>
      <c r="D24" s="783"/>
      <c r="E24" s="45">
        <f>E22/E23</f>
        <v>0.262712235971442</v>
      </c>
    </row>
    <row r="25" spans="1:5" ht="14.25" x14ac:dyDescent="0.2">
      <c r="A25" s="39"/>
      <c r="B25" s="37"/>
      <c r="C25" s="37"/>
      <c r="D25" s="37"/>
      <c r="E25" s="37"/>
    </row>
    <row r="26" spans="1:5" ht="15" x14ac:dyDescent="0.25">
      <c r="A26" s="772" t="s">
        <v>276</v>
      </c>
      <c r="B26" s="773"/>
      <c r="C26" s="773"/>
      <c r="D26" s="774"/>
      <c r="E26" s="43" t="s">
        <v>317</v>
      </c>
    </row>
    <row r="27" spans="1:5" x14ac:dyDescent="0.2">
      <c r="A27" s="769" t="s">
        <v>271</v>
      </c>
      <c r="B27" s="770"/>
      <c r="C27" s="770"/>
      <c r="D27" s="771"/>
      <c r="E27" s="89">
        <f>'02 Coeficientes'!$B$73</f>
        <v>0.1074</v>
      </c>
    </row>
    <row r="28" spans="1:5" x14ac:dyDescent="0.2">
      <c r="A28" s="778" t="s">
        <v>153</v>
      </c>
      <c r="B28" s="779"/>
      <c r="C28" s="779"/>
      <c r="D28" s="780"/>
      <c r="E28" s="85">
        <f t="shared" ref="E28" si="2">E22</f>
        <v>1528.884</v>
      </c>
    </row>
    <row r="29" spans="1:5" ht="15" x14ac:dyDescent="0.25">
      <c r="A29" s="781" t="s">
        <v>171</v>
      </c>
      <c r="B29" s="782"/>
      <c r="C29" s="782"/>
      <c r="D29" s="783"/>
      <c r="E29" s="55">
        <f>E27*E28</f>
        <v>164.2021416</v>
      </c>
    </row>
    <row r="30" spans="1:5" x14ac:dyDescent="0.2">
      <c r="A30" s="778" t="s">
        <v>150</v>
      </c>
      <c r="B30" s="779"/>
      <c r="C30" s="779"/>
      <c r="D30" s="780"/>
      <c r="E30" s="85">
        <f t="shared" ref="E30" si="3">E23</f>
        <v>5819.6147368111042</v>
      </c>
    </row>
    <row r="31" spans="1:5" ht="15" x14ac:dyDescent="0.25">
      <c r="A31" s="781" t="s">
        <v>152</v>
      </c>
      <c r="B31" s="782"/>
      <c r="C31" s="782"/>
      <c r="D31" s="783"/>
      <c r="E31" s="45">
        <f>E29/E30</f>
        <v>2.8215294143332868E-2</v>
      </c>
    </row>
    <row r="32" spans="1:5" ht="14.25" x14ac:dyDescent="0.2">
      <c r="A32" s="38"/>
      <c r="B32" s="41"/>
      <c r="C32" s="41"/>
      <c r="D32" s="37"/>
      <c r="E32" s="40"/>
    </row>
    <row r="33" spans="1:5" ht="15" x14ac:dyDescent="0.25">
      <c r="A33" s="781" t="s">
        <v>163</v>
      </c>
      <c r="B33" s="782"/>
      <c r="C33" s="782"/>
      <c r="D33" s="783"/>
      <c r="E33" s="43" t="s">
        <v>317</v>
      </c>
    </row>
    <row r="34" spans="1:5" x14ac:dyDescent="0.2">
      <c r="A34" s="778" t="s">
        <v>156</v>
      </c>
      <c r="B34" s="779"/>
      <c r="C34" s="779"/>
      <c r="D34" s="780"/>
      <c r="E34" s="85">
        <f>E7</f>
        <v>12612.230355690164</v>
      </c>
    </row>
    <row r="35" spans="1:5" x14ac:dyDescent="0.2">
      <c r="A35" s="778" t="s">
        <v>155</v>
      </c>
      <c r="B35" s="779"/>
      <c r="C35" s="779"/>
      <c r="D35" s="780"/>
      <c r="E35" s="85">
        <f t="shared" ref="E35" si="4">E22</f>
        <v>1528.884</v>
      </c>
    </row>
    <row r="36" spans="1:5" ht="15" x14ac:dyDescent="0.25">
      <c r="A36" s="781" t="s">
        <v>171</v>
      </c>
      <c r="B36" s="782"/>
      <c r="C36" s="782"/>
      <c r="D36" s="783"/>
      <c r="E36" s="55">
        <f t="shared" ref="E36" si="5">E34+E35</f>
        <v>14141.114355690164</v>
      </c>
    </row>
    <row r="37" spans="1:5" x14ac:dyDescent="0.2">
      <c r="A37" s="778" t="s">
        <v>150</v>
      </c>
      <c r="B37" s="779"/>
      <c r="C37" s="779"/>
      <c r="D37" s="780"/>
      <c r="E37" s="85">
        <f t="shared" ref="E37" si="6">E30</f>
        <v>5819.6147368111042</v>
      </c>
    </row>
    <row r="38" spans="1:5" ht="15" x14ac:dyDescent="0.25">
      <c r="A38" s="781" t="s">
        <v>151</v>
      </c>
      <c r="B38" s="782"/>
      <c r="C38" s="782"/>
      <c r="D38" s="783"/>
      <c r="E38" s="45">
        <f t="shared" ref="E38" si="7">E36/E37</f>
        <v>2.4299055857156069</v>
      </c>
    </row>
    <row r="39" spans="1:5" ht="14.25" x14ac:dyDescent="0.2">
      <c r="A39" s="38"/>
      <c r="B39" s="41"/>
      <c r="C39" s="41"/>
      <c r="D39" s="42"/>
      <c r="E39" s="40"/>
    </row>
    <row r="40" spans="1:5" ht="15" x14ac:dyDescent="0.25">
      <c r="A40" s="775" t="s">
        <v>164</v>
      </c>
      <c r="B40" s="776"/>
      <c r="C40" s="776"/>
      <c r="D40" s="777"/>
      <c r="E40" s="43" t="s">
        <v>317</v>
      </c>
    </row>
    <row r="41" spans="1:5" x14ac:dyDescent="0.2">
      <c r="A41" s="769" t="s">
        <v>168</v>
      </c>
      <c r="B41" s="770"/>
      <c r="C41" s="770"/>
      <c r="D41" s="771"/>
      <c r="E41" s="85">
        <f t="shared" ref="E41" si="8">E14</f>
        <v>1354.5535402011235</v>
      </c>
    </row>
    <row r="42" spans="1:5" x14ac:dyDescent="0.2">
      <c r="A42" s="778" t="s">
        <v>169</v>
      </c>
      <c r="B42" s="779"/>
      <c r="C42" s="779"/>
      <c r="D42" s="780"/>
      <c r="E42" s="85">
        <f t="shared" ref="E42" si="9">E29</f>
        <v>164.2021416</v>
      </c>
    </row>
    <row r="43" spans="1:5" ht="15" x14ac:dyDescent="0.25">
      <c r="A43" s="781" t="s">
        <v>171</v>
      </c>
      <c r="B43" s="782"/>
      <c r="C43" s="782"/>
      <c r="D43" s="783"/>
      <c r="E43" s="55">
        <f t="shared" ref="E43" si="10">E41+E42</f>
        <v>1518.7556818011235</v>
      </c>
    </row>
    <row r="44" spans="1:5" x14ac:dyDescent="0.2">
      <c r="A44" s="778" t="s">
        <v>150</v>
      </c>
      <c r="B44" s="779"/>
      <c r="C44" s="779"/>
      <c r="D44" s="780"/>
      <c r="E44" s="85">
        <f t="shared" ref="E44" si="11">E37</f>
        <v>5819.6147368111042</v>
      </c>
    </row>
    <row r="45" spans="1:5" ht="15" x14ac:dyDescent="0.25">
      <c r="A45" s="781" t="s">
        <v>152</v>
      </c>
      <c r="B45" s="782"/>
      <c r="C45" s="782"/>
      <c r="D45" s="783"/>
      <c r="E45" s="45">
        <f t="shared" ref="E45" si="12">E43/E44</f>
        <v>0.2609718599058562</v>
      </c>
    </row>
    <row r="46" spans="1:5" x14ac:dyDescent="0.2">
      <c r="A46" s="106"/>
      <c r="B46" s="106"/>
      <c r="C46" s="106"/>
      <c r="D46" s="106"/>
      <c r="E46" s="106"/>
    </row>
    <row r="47" spans="1:5" ht="15" x14ac:dyDescent="0.25">
      <c r="A47" s="775" t="s">
        <v>190</v>
      </c>
      <c r="B47" s="776"/>
      <c r="C47" s="776"/>
      <c r="D47" s="777"/>
      <c r="E47" s="43" t="s">
        <v>317</v>
      </c>
    </row>
    <row r="48" spans="1:5" x14ac:dyDescent="0.2">
      <c r="A48" s="769" t="s">
        <v>170</v>
      </c>
      <c r="B48" s="770"/>
      <c r="C48" s="770"/>
      <c r="D48" s="771"/>
      <c r="E48" s="85">
        <f>E36</f>
        <v>14141.114355690164</v>
      </c>
    </row>
    <row r="49" spans="1:5" x14ac:dyDescent="0.2">
      <c r="A49" s="778" t="s">
        <v>61</v>
      </c>
      <c r="B49" s="779"/>
      <c r="C49" s="779"/>
      <c r="D49" s="780"/>
      <c r="E49" s="85">
        <f>'02 Coeficientes'!$B$74</f>
        <v>6.9699999999999998E-2</v>
      </c>
    </row>
    <row r="50" spans="1:5" ht="15" x14ac:dyDescent="0.25">
      <c r="A50" s="781" t="s">
        <v>171</v>
      </c>
      <c r="B50" s="782"/>
      <c r="C50" s="782"/>
      <c r="D50" s="783"/>
      <c r="E50" s="55">
        <f>E48*E49</f>
        <v>985.63567059160448</v>
      </c>
    </row>
    <row r="51" spans="1:5" x14ac:dyDescent="0.2">
      <c r="A51" s="778" t="s">
        <v>150</v>
      </c>
      <c r="B51" s="779"/>
      <c r="C51" s="779"/>
      <c r="D51" s="780"/>
      <c r="E51" s="85">
        <f t="shared" ref="E51" si="13">E44</f>
        <v>5819.6147368111042</v>
      </c>
    </row>
    <row r="52" spans="1:5" ht="15" x14ac:dyDescent="0.25">
      <c r="A52" s="781" t="s">
        <v>157</v>
      </c>
      <c r="B52" s="782"/>
      <c r="C52" s="782"/>
      <c r="D52" s="783"/>
      <c r="E52" s="45">
        <f>E50/E51</f>
        <v>0.16936441932437782</v>
      </c>
    </row>
    <row r="53" spans="1:5" x14ac:dyDescent="0.2">
      <c r="A53" s="106"/>
      <c r="B53" s="106"/>
      <c r="C53" s="106"/>
      <c r="D53" s="106"/>
      <c r="E53" s="106"/>
    </row>
    <row r="54" spans="1:5" ht="15" x14ac:dyDescent="0.25">
      <c r="A54" s="781" t="s">
        <v>191</v>
      </c>
      <c r="B54" s="782"/>
      <c r="C54" s="782"/>
      <c r="D54" s="783"/>
      <c r="E54" s="43" t="s">
        <v>317</v>
      </c>
    </row>
    <row r="55" spans="1:5" x14ac:dyDescent="0.2">
      <c r="A55" s="784" t="s">
        <v>165</v>
      </c>
      <c r="B55" s="779"/>
      <c r="C55" s="779"/>
      <c r="D55" s="780"/>
      <c r="E55" s="85">
        <f>'01 Preços'!$B$16</f>
        <v>890</v>
      </c>
    </row>
    <row r="56" spans="1:5" x14ac:dyDescent="0.2">
      <c r="A56" s="784" t="s">
        <v>150</v>
      </c>
      <c r="B56" s="779"/>
      <c r="C56" s="779"/>
      <c r="D56" s="780"/>
      <c r="E56" s="85">
        <f t="shared" ref="E56" si="14">E51</f>
        <v>5819.6147368111042</v>
      </c>
    </row>
    <row r="57" spans="1:5" ht="15" x14ac:dyDescent="0.25">
      <c r="A57" s="785" t="s">
        <v>158</v>
      </c>
      <c r="B57" s="782"/>
      <c r="C57" s="782"/>
      <c r="D57" s="783"/>
      <c r="E57" s="45">
        <f>E55/E56</f>
        <v>0.15293108569033581</v>
      </c>
    </row>
    <row r="58" spans="1:5" x14ac:dyDescent="0.2">
      <c r="A58" s="106"/>
      <c r="B58" s="106"/>
      <c r="C58" s="106"/>
      <c r="D58" s="106"/>
      <c r="E58" s="106"/>
    </row>
    <row r="59" spans="1:5" ht="15" x14ac:dyDescent="0.25">
      <c r="A59" s="781" t="s">
        <v>192</v>
      </c>
      <c r="B59" s="782"/>
      <c r="C59" s="782"/>
      <c r="D59" s="783"/>
      <c r="E59" s="43" t="s">
        <v>317</v>
      </c>
    </row>
    <row r="60" spans="1:5" x14ac:dyDescent="0.2">
      <c r="A60" s="778" t="s">
        <v>159</v>
      </c>
      <c r="B60" s="779"/>
      <c r="C60" s="779"/>
      <c r="D60" s="780"/>
      <c r="E60" s="85">
        <f>'01 Preços'!$B$12</f>
        <v>2168.4499999999998</v>
      </c>
    </row>
    <row r="61" spans="1:5" x14ac:dyDescent="0.2">
      <c r="A61" s="778" t="s">
        <v>119</v>
      </c>
      <c r="B61" s="779"/>
      <c r="C61" s="779"/>
      <c r="D61" s="780"/>
      <c r="E61" s="90">
        <f>'02 Coeficientes'!$B$62</f>
        <v>5</v>
      </c>
    </row>
    <row r="62" spans="1:5" x14ac:dyDescent="0.2">
      <c r="A62" s="778" t="s">
        <v>160</v>
      </c>
      <c r="B62" s="779"/>
      <c r="C62" s="779"/>
      <c r="D62" s="780"/>
      <c r="E62" s="85">
        <f>E60*E61</f>
        <v>10842.25</v>
      </c>
    </row>
    <row r="63" spans="1:5" x14ac:dyDescent="0.2">
      <c r="A63" s="786" t="s">
        <v>348</v>
      </c>
      <c r="B63" s="779"/>
      <c r="C63" s="779"/>
      <c r="D63" s="780"/>
      <c r="E63" s="90">
        <f>'02 Coeficientes'!B65</f>
        <v>3</v>
      </c>
    </row>
    <row r="64" spans="1:5" x14ac:dyDescent="0.2">
      <c r="A64" s="778" t="s">
        <v>161</v>
      </c>
      <c r="B64" s="779"/>
      <c r="C64" s="779"/>
      <c r="D64" s="780"/>
      <c r="E64" s="88">
        <f>'02 Coeficientes'!$B$66</f>
        <v>15</v>
      </c>
    </row>
    <row r="65" spans="1:5" ht="15" x14ac:dyDescent="0.25">
      <c r="A65" s="781" t="s">
        <v>149</v>
      </c>
      <c r="B65" s="782"/>
      <c r="C65" s="782"/>
      <c r="D65" s="783"/>
      <c r="E65" s="55">
        <f>E62*E63*(1+E64/100)</f>
        <v>37405.762499999997</v>
      </c>
    </row>
    <row r="66" spans="1:5" x14ac:dyDescent="0.2">
      <c r="A66" s="778" t="s">
        <v>166</v>
      </c>
      <c r="B66" s="779"/>
      <c r="C66" s="779"/>
      <c r="D66" s="780"/>
      <c r="E66" s="91">
        <f>'03 Dados_Oper'!B9</f>
        <v>320</v>
      </c>
    </row>
    <row r="67" spans="1:5" x14ac:dyDescent="0.2">
      <c r="A67" s="778" t="s">
        <v>167</v>
      </c>
      <c r="B67" s="779"/>
      <c r="C67" s="779"/>
      <c r="D67" s="780"/>
      <c r="E67" s="85">
        <f>E65/E66</f>
        <v>116.89300781249999</v>
      </c>
    </row>
    <row r="68" spans="1:5" x14ac:dyDescent="0.2">
      <c r="A68" s="784" t="s">
        <v>150</v>
      </c>
      <c r="B68" s="779"/>
      <c r="C68" s="779"/>
      <c r="D68" s="780"/>
      <c r="E68" s="85">
        <f t="shared" ref="E68" si="15">E56</f>
        <v>5819.6147368111042</v>
      </c>
    </row>
    <row r="69" spans="1:5" ht="15" x14ac:dyDescent="0.25">
      <c r="A69" s="781" t="s">
        <v>162</v>
      </c>
      <c r="B69" s="782"/>
      <c r="C69" s="782"/>
      <c r="D69" s="783"/>
      <c r="E69" s="45">
        <f>E67/E68</f>
        <v>2.0086038870083738E-2</v>
      </c>
    </row>
    <row r="71" spans="1:5" x14ac:dyDescent="0.2">
      <c r="E71" s="92"/>
    </row>
  </sheetData>
  <sheetProtection password="DB60" sheet="1" objects="1" scenarios="1"/>
  <mergeCells count="55">
    <mergeCell ref="A69:D69"/>
    <mergeCell ref="A64:D64"/>
    <mergeCell ref="A65:D65"/>
    <mergeCell ref="A66:D66"/>
    <mergeCell ref="A67:D67"/>
    <mergeCell ref="A60:D60"/>
    <mergeCell ref="A61:D61"/>
    <mergeCell ref="A62:D62"/>
    <mergeCell ref="A63:D63"/>
    <mergeCell ref="A68:D68"/>
    <mergeCell ref="A54:D54"/>
    <mergeCell ref="A56:D56"/>
    <mergeCell ref="A55:D55"/>
    <mergeCell ref="A57:D57"/>
    <mergeCell ref="A59:D59"/>
    <mergeCell ref="A50:D50"/>
    <mergeCell ref="A51:D51"/>
    <mergeCell ref="A48:D48"/>
    <mergeCell ref="A49:D49"/>
    <mergeCell ref="A52:D52"/>
    <mergeCell ref="A7:D7"/>
    <mergeCell ref="A8:D8"/>
    <mergeCell ref="A9:D9"/>
    <mergeCell ref="A28:D28"/>
    <mergeCell ref="A29:D29"/>
    <mergeCell ref="A24:D24"/>
    <mergeCell ref="A13:D13"/>
    <mergeCell ref="A14:D14"/>
    <mergeCell ref="A15:D15"/>
    <mergeCell ref="A16:D16"/>
    <mergeCell ref="A19:D19"/>
    <mergeCell ref="A20:D20"/>
    <mergeCell ref="A21:D21"/>
    <mergeCell ref="A22:D22"/>
    <mergeCell ref="A23:D23"/>
    <mergeCell ref="A12:D12"/>
    <mergeCell ref="A47:D47"/>
    <mergeCell ref="A45:D45"/>
    <mergeCell ref="A33:D33"/>
    <mergeCell ref="A42:D42"/>
    <mergeCell ref="A43:D43"/>
    <mergeCell ref="A37:D37"/>
    <mergeCell ref="A38:D38"/>
    <mergeCell ref="A41:D41"/>
    <mergeCell ref="A34:D34"/>
    <mergeCell ref="A35:D35"/>
    <mergeCell ref="A36:D36"/>
    <mergeCell ref="A27:D27"/>
    <mergeCell ref="A26:D26"/>
    <mergeCell ref="A18:D18"/>
    <mergeCell ref="A11:D11"/>
    <mergeCell ref="A44:D44"/>
    <mergeCell ref="A40:D40"/>
    <mergeCell ref="A30:D30"/>
    <mergeCell ref="A31:D31"/>
  </mergeCells>
  <pageMargins left="0.31496062992125984" right="0.19685039370078741" top="0.39370078740157483" bottom="0.27559055118110237" header="0.19685039370078741" footer="0.19685039370078741"/>
  <pageSetup scale="80" orientation="portrait" useFirstPageNumber="1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selection activeCell="B6" sqref="B6"/>
    </sheetView>
  </sheetViews>
  <sheetFormatPr defaultColWidth="8.85546875" defaultRowHeight="12.75" x14ac:dyDescent="0.2"/>
  <cols>
    <col min="1" max="1" width="53.5703125" style="106" bestFit="1" customWidth="1"/>
    <col min="2" max="2" width="15" style="106" bestFit="1" customWidth="1"/>
    <col min="3" max="4" width="8.85546875" style="105"/>
    <col min="5" max="16384" width="8.85546875" style="106"/>
  </cols>
  <sheetData>
    <row r="1" spans="1:2" ht="15.75" x14ac:dyDescent="0.25">
      <c r="A1" s="103" t="s">
        <v>284</v>
      </c>
      <c r="B1" s="104"/>
    </row>
    <row r="4" spans="1:2" ht="15" x14ac:dyDescent="0.25">
      <c r="A4" s="33" t="s">
        <v>203</v>
      </c>
      <c r="B4" s="43" t="s">
        <v>317</v>
      </c>
    </row>
    <row r="5" spans="1:2" x14ac:dyDescent="0.2">
      <c r="A5" s="160" t="s">
        <v>347</v>
      </c>
      <c r="B5" s="85">
        <f>'04 Frota'!H57</f>
        <v>531991.64135421021</v>
      </c>
    </row>
    <row r="6" spans="1:2" x14ac:dyDescent="0.2">
      <c r="A6" s="84" t="s">
        <v>172</v>
      </c>
      <c r="B6" s="86">
        <f>'02 Coeficientes'!$B$60</f>
        <v>4.0000000000000001E-3</v>
      </c>
    </row>
    <row r="7" spans="1:2" ht="15" x14ac:dyDescent="0.25">
      <c r="A7" s="33" t="s">
        <v>171</v>
      </c>
      <c r="B7" s="44">
        <f>B5*B6</f>
        <v>2127.9665654168407</v>
      </c>
    </row>
    <row r="8" spans="1:2" x14ac:dyDescent="0.2">
      <c r="A8" s="84" t="s">
        <v>150</v>
      </c>
      <c r="B8" s="85">
        <f>'03 Dados_Oper'!B13</f>
        <v>5819.6147368111042</v>
      </c>
    </row>
    <row r="9" spans="1:2" ht="15" x14ac:dyDescent="0.25">
      <c r="A9" s="33" t="s">
        <v>173</v>
      </c>
      <c r="B9" s="46">
        <f>B7/B8</f>
        <v>0.36565419905835106</v>
      </c>
    </row>
    <row r="10" spans="1:2" x14ac:dyDescent="0.2">
      <c r="A10" s="107"/>
      <c r="B10" s="107"/>
    </row>
    <row r="11" spans="1:2" x14ac:dyDescent="0.2">
      <c r="A11" s="107"/>
      <c r="B11" s="107"/>
    </row>
    <row r="12" spans="1:2" ht="15" x14ac:dyDescent="0.25">
      <c r="A12" s="33" t="s">
        <v>193</v>
      </c>
      <c r="B12" s="43" t="s">
        <v>317</v>
      </c>
    </row>
    <row r="13" spans="1:2" x14ac:dyDescent="0.2">
      <c r="A13" s="84" t="s">
        <v>10</v>
      </c>
      <c r="B13" s="88">
        <f>'01 Preços'!$B$18</f>
        <v>396.49</v>
      </c>
    </row>
    <row r="14" spans="1:2" x14ac:dyDescent="0.2">
      <c r="A14" s="84" t="s">
        <v>174</v>
      </c>
      <c r="B14" s="86">
        <f>'02 Coeficientes'!$B$61</f>
        <v>8.3333333333333321</v>
      </c>
    </row>
    <row r="15" spans="1:2" x14ac:dyDescent="0.2">
      <c r="A15" s="84" t="s">
        <v>175</v>
      </c>
      <c r="B15" s="85">
        <f>B13*B14/100</f>
        <v>33.040833333333332</v>
      </c>
    </row>
    <row r="16" spans="1:2" x14ac:dyDescent="0.2">
      <c r="A16" s="84" t="s">
        <v>176</v>
      </c>
      <c r="B16" s="85">
        <f>'03 Dados_Oper'!B14</f>
        <v>5290.5588516464586</v>
      </c>
    </row>
    <row r="17" spans="1:2" ht="15" x14ac:dyDescent="0.25">
      <c r="A17" s="33" t="s">
        <v>178</v>
      </c>
      <c r="B17" s="46">
        <f>B15/B16</f>
        <v>6.2452444552338355E-3</v>
      </c>
    </row>
    <row r="18" spans="1:2" x14ac:dyDescent="0.2">
      <c r="A18" s="107"/>
      <c r="B18" s="107"/>
    </row>
    <row r="19" spans="1:2" x14ac:dyDescent="0.2">
      <c r="A19" s="107"/>
      <c r="B19" s="107"/>
    </row>
    <row r="20" spans="1:2" ht="15" x14ac:dyDescent="0.25">
      <c r="A20" s="33" t="s">
        <v>194</v>
      </c>
      <c r="B20" s="43" t="s">
        <v>317</v>
      </c>
    </row>
    <row r="21" spans="1:2" x14ac:dyDescent="0.2">
      <c r="A21" s="84" t="s">
        <v>177</v>
      </c>
      <c r="B21" s="88">
        <f>'01 Preços'!$B$17</f>
        <v>14.58</v>
      </c>
    </row>
    <row r="22" spans="1:2" x14ac:dyDescent="0.2">
      <c r="A22" s="84" t="s">
        <v>176</v>
      </c>
      <c r="B22" s="85">
        <f>B16</f>
        <v>5290.5588516464586</v>
      </c>
    </row>
    <row r="23" spans="1:2" ht="15" x14ac:dyDescent="0.25">
      <c r="A23" s="33" t="s">
        <v>179</v>
      </c>
      <c r="B23" s="46">
        <f>B21/B22</f>
        <v>2.7558525306759611E-3</v>
      </c>
    </row>
    <row r="26" spans="1:2" ht="15" x14ac:dyDescent="0.25">
      <c r="A26" s="33" t="s">
        <v>180</v>
      </c>
      <c r="B26" s="43" t="s">
        <v>317</v>
      </c>
    </row>
    <row r="27" spans="1:2" x14ac:dyDescent="0.2">
      <c r="A27" s="84" t="s">
        <v>178</v>
      </c>
      <c r="B27" s="86">
        <f>B17</f>
        <v>6.2452444552338355E-3</v>
      </c>
    </row>
    <row r="28" spans="1:2" x14ac:dyDescent="0.2">
      <c r="A28" s="84" t="s">
        <v>179</v>
      </c>
      <c r="B28" s="86">
        <f>B23</f>
        <v>2.7558525306759611E-3</v>
      </c>
    </row>
    <row r="29" spans="1:2" ht="15" x14ac:dyDescent="0.25">
      <c r="A29" s="33" t="s">
        <v>181</v>
      </c>
      <c r="B29" s="46">
        <f>SUM(B27:B28)</f>
        <v>9.0010969859097966E-3</v>
      </c>
    </row>
    <row r="30" spans="1:2" x14ac:dyDescent="0.2">
      <c r="A30" s="107"/>
      <c r="B30" s="107"/>
    </row>
    <row r="31" spans="1:2" x14ac:dyDescent="0.2">
      <c r="A31" s="107"/>
      <c r="B31" s="107"/>
    </row>
    <row r="32" spans="1:2" x14ac:dyDescent="0.2">
      <c r="A32" s="107"/>
      <c r="B32" s="107"/>
    </row>
    <row r="33" spans="1:2" x14ac:dyDescent="0.2">
      <c r="A33" s="107"/>
      <c r="B33" s="107"/>
    </row>
    <row r="34" spans="1:2" x14ac:dyDescent="0.2">
      <c r="A34" s="107"/>
      <c r="B34" s="107"/>
    </row>
    <row r="35" spans="1:2" x14ac:dyDescent="0.2">
      <c r="A35" s="107"/>
      <c r="B35" s="107"/>
    </row>
    <row r="36" spans="1:2" x14ac:dyDescent="0.2">
      <c r="A36" s="107"/>
      <c r="B36" s="107"/>
    </row>
  </sheetData>
  <sheetProtection password="DB60" sheet="1" objects="1" scenarios="1"/>
  <pageMargins left="0.35433070866141736" right="0.19685039370078741" top="0.70866141732283472" bottom="0.98425196850393704" header="0.51181102362204722" footer="0.51181102362204722"/>
  <pageSetup orientation="portrait" useFirstPageNumber="1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4"/>
  <sheetViews>
    <sheetView zoomScaleNormal="100" workbookViewId="0">
      <selection activeCell="D6" sqref="D6"/>
    </sheetView>
  </sheetViews>
  <sheetFormatPr defaultRowHeight="12.75" x14ac:dyDescent="0.2"/>
  <cols>
    <col min="1" max="1" width="10" style="635" customWidth="1"/>
    <col min="2" max="2" width="54.7109375" style="635" customWidth="1"/>
    <col min="3" max="3" width="14.85546875" style="635" customWidth="1"/>
    <col min="4" max="4" width="15.7109375" style="635" customWidth="1"/>
    <col min="7" max="7" width="9.140625" style="635"/>
    <col min="8" max="8" width="14.28515625" style="635" bestFit="1" customWidth="1"/>
    <col min="9" max="16384" width="9.140625" style="635"/>
  </cols>
  <sheetData>
    <row r="1" spans="1:4" x14ac:dyDescent="0.2">
      <c r="A1" s="667" t="s">
        <v>529</v>
      </c>
      <c r="B1" s="690"/>
      <c r="C1" s="690"/>
      <c r="D1" s="690"/>
    </row>
    <row r="2" spans="1:4" x14ac:dyDescent="0.2">
      <c r="A2" s="637"/>
      <c r="B2" s="637"/>
      <c r="C2" s="637"/>
      <c r="D2" s="637"/>
    </row>
    <row r="3" spans="1:4" x14ac:dyDescent="0.2">
      <c r="A3" s="793" t="s">
        <v>449</v>
      </c>
      <c r="B3" s="794"/>
      <c r="C3" s="795"/>
      <c r="D3" s="640" t="s">
        <v>137</v>
      </c>
    </row>
    <row r="4" spans="1:4" x14ac:dyDescent="0.2">
      <c r="A4" s="796" t="s">
        <v>450</v>
      </c>
      <c r="B4" s="796"/>
      <c r="C4" s="796"/>
      <c r="D4" s="634">
        <f>D22</f>
        <v>3.7026339250912071E-4</v>
      </c>
    </row>
    <row r="5" spans="1:4" x14ac:dyDescent="0.2">
      <c r="A5" s="796" t="s">
        <v>451</v>
      </c>
      <c r="B5" s="796"/>
      <c r="C5" s="796"/>
      <c r="D5" s="634">
        <f t="shared" ref="D5" si="0">D28</f>
        <v>0</v>
      </c>
    </row>
    <row r="6" spans="1:4" x14ac:dyDescent="0.2">
      <c r="A6" s="797" t="s">
        <v>452</v>
      </c>
      <c r="B6" s="798"/>
      <c r="C6" s="799"/>
      <c r="D6" s="634">
        <f>D34</f>
        <v>5.2166537167625256E-5</v>
      </c>
    </row>
    <row r="7" spans="1:4" x14ac:dyDescent="0.2">
      <c r="A7" s="691"/>
      <c r="B7" s="691"/>
      <c r="C7" s="692"/>
      <c r="D7" s="693"/>
    </row>
    <row r="8" spans="1:4" x14ac:dyDescent="0.2">
      <c r="A8" s="636" t="s">
        <v>453</v>
      </c>
      <c r="B8" s="636"/>
      <c r="C8" s="637"/>
      <c r="D8" s="637"/>
    </row>
    <row r="9" spans="1:4" ht="25.5" x14ac:dyDescent="0.2">
      <c r="A9" s="638"/>
      <c r="B9" s="639" t="s">
        <v>454</v>
      </c>
      <c r="C9" s="638" t="s">
        <v>455</v>
      </c>
      <c r="D9" s="640">
        <f>12*25</f>
        <v>300</v>
      </c>
    </row>
    <row r="10" spans="1:4" x14ac:dyDescent="0.2">
      <c r="A10" s="638"/>
      <c r="B10" s="639" t="s">
        <v>456</v>
      </c>
      <c r="C10" s="638" t="s">
        <v>455</v>
      </c>
      <c r="D10" s="640">
        <f>12*5</f>
        <v>60</v>
      </c>
    </row>
    <row r="11" spans="1:4" x14ac:dyDescent="0.2">
      <c r="A11" s="641"/>
      <c r="B11" s="639" t="s">
        <v>457</v>
      </c>
      <c r="C11" s="638" t="s">
        <v>455</v>
      </c>
      <c r="D11" s="640">
        <f>10*12</f>
        <v>120</v>
      </c>
    </row>
    <row r="12" spans="1:4" x14ac:dyDescent="0.2">
      <c r="A12" s="642"/>
      <c r="B12" s="643"/>
      <c r="C12" s="644"/>
      <c r="D12" s="645"/>
    </row>
    <row r="13" spans="1:4" x14ac:dyDescent="0.2">
      <c r="A13" s="641" t="s">
        <v>458</v>
      </c>
      <c r="B13" s="639" t="s">
        <v>459</v>
      </c>
      <c r="C13" s="638" t="s">
        <v>96</v>
      </c>
      <c r="D13" s="646">
        <f>'[2]04 Frota'!D39</f>
        <v>406465.34834094916</v>
      </c>
    </row>
    <row r="14" spans="1:4" ht="13.5" customHeight="1" x14ac:dyDescent="0.2">
      <c r="A14" s="638" t="s">
        <v>460</v>
      </c>
      <c r="B14" s="647" t="s">
        <v>461</v>
      </c>
      <c r="C14" s="638" t="s">
        <v>462</v>
      </c>
      <c r="D14" s="648">
        <f>'[2]03 Dados_Oper'!B13</f>
        <v>1709</v>
      </c>
    </row>
    <row r="15" spans="1:4" x14ac:dyDescent="0.2">
      <c r="A15" s="649"/>
      <c r="B15" s="637"/>
      <c r="C15" s="637"/>
      <c r="D15" s="637"/>
    </row>
    <row r="16" spans="1:4" x14ac:dyDescent="0.2">
      <c r="A16" s="636" t="s">
        <v>463</v>
      </c>
      <c r="B16" s="637"/>
      <c r="C16" s="637"/>
      <c r="D16" s="666"/>
    </row>
    <row r="17" spans="1:4" x14ac:dyDescent="0.2">
      <c r="A17" s="636"/>
      <c r="B17" s="637"/>
      <c r="C17" s="637"/>
      <c r="D17" s="651"/>
    </row>
    <row r="18" spans="1:4" x14ac:dyDescent="0.2">
      <c r="A18" s="800" t="s">
        <v>464</v>
      </c>
      <c r="B18" s="801"/>
      <c r="C18" s="802"/>
      <c r="D18" s="640" t="s">
        <v>137</v>
      </c>
    </row>
    <row r="19" spans="1:4" x14ac:dyDescent="0.2">
      <c r="A19" s="787" t="s">
        <v>465</v>
      </c>
      <c r="B19" s="788"/>
      <c r="C19" s="789"/>
      <c r="D19" s="652">
        <f>'Aux.02.03 Ativo Imobilizado'!B22-'Aux.02.04 Terrenos'!B19</f>
        <v>77160959.74000001</v>
      </c>
    </row>
    <row r="20" spans="1:4" ht="24.75" customHeight="1" x14ac:dyDescent="0.2">
      <c r="A20" s="790" t="s">
        <v>454</v>
      </c>
      <c r="B20" s="791"/>
      <c r="C20" s="792"/>
      <c r="D20" s="653">
        <f>$D$9</f>
        <v>300</v>
      </c>
    </row>
    <row r="21" spans="1:4" ht="15.75" customHeight="1" x14ac:dyDescent="0.2">
      <c r="A21" s="787" t="s">
        <v>466</v>
      </c>
      <c r="B21" s="788"/>
      <c r="C21" s="789"/>
      <c r="D21" s="654">
        <f>D19/D20</f>
        <v>257203.19913333337</v>
      </c>
    </row>
    <row r="22" spans="1:4" x14ac:dyDescent="0.2">
      <c r="A22" s="790" t="s">
        <v>467</v>
      </c>
      <c r="B22" s="791"/>
      <c r="C22" s="792"/>
      <c r="D22" s="655">
        <f>D21/(D13*D14)</f>
        <v>3.7026339250912071E-4</v>
      </c>
    </row>
    <row r="23" spans="1:4" x14ac:dyDescent="0.2">
      <c r="A23" s="656"/>
      <c r="B23" s="637"/>
      <c r="C23" s="637"/>
      <c r="D23" s="657"/>
    </row>
    <row r="24" spans="1:4" x14ac:dyDescent="0.2">
      <c r="A24" s="793" t="s">
        <v>468</v>
      </c>
      <c r="B24" s="794"/>
      <c r="C24" s="795"/>
      <c r="D24" s="640" t="s">
        <v>137</v>
      </c>
    </row>
    <row r="25" spans="1:4" x14ac:dyDescent="0.2">
      <c r="A25" s="787" t="s">
        <v>469</v>
      </c>
      <c r="B25" s="788"/>
      <c r="C25" s="789"/>
      <c r="D25" s="652">
        <v>0</v>
      </c>
    </row>
    <row r="26" spans="1:4" x14ac:dyDescent="0.2">
      <c r="A26" s="790" t="s">
        <v>470</v>
      </c>
      <c r="B26" s="791"/>
      <c r="C26" s="792"/>
      <c r="D26" s="653">
        <f>$D$10</f>
        <v>60</v>
      </c>
    </row>
    <row r="27" spans="1:4" ht="15.75" customHeight="1" x14ac:dyDescent="0.2">
      <c r="A27" s="787" t="s">
        <v>471</v>
      </c>
      <c r="B27" s="788"/>
      <c r="C27" s="789"/>
      <c r="D27" s="654">
        <f>D25/D26</f>
        <v>0</v>
      </c>
    </row>
    <row r="28" spans="1:4" ht="14.25" customHeight="1" x14ac:dyDescent="0.2">
      <c r="A28" s="790" t="s">
        <v>472</v>
      </c>
      <c r="B28" s="791"/>
      <c r="C28" s="792"/>
      <c r="D28" s="655">
        <f>D27/(D13*D14)</f>
        <v>0</v>
      </c>
    </row>
    <row r="29" spans="1:4" x14ac:dyDescent="0.2">
      <c r="A29" s="637"/>
      <c r="B29" s="637"/>
      <c r="C29" s="637"/>
      <c r="D29" s="637"/>
    </row>
    <row r="30" spans="1:4" x14ac:dyDescent="0.2">
      <c r="A30" s="793" t="s">
        <v>473</v>
      </c>
      <c r="B30" s="794"/>
      <c r="C30" s="795"/>
      <c r="D30" s="640" t="s">
        <v>137</v>
      </c>
    </row>
    <row r="31" spans="1:4" x14ac:dyDescent="0.2">
      <c r="A31" s="787" t="s">
        <v>474</v>
      </c>
      <c r="B31" s="788"/>
      <c r="C31" s="789"/>
      <c r="D31" s="652">
        <f>'Aux.02.03 Ativo Imobilizado'!C22</f>
        <v>4348493.7</v>
      </c>
    </row>
    <row r="32" spans="1:4" x14ac:dyDescent="0.2">
      <c r="A32" s="790" t="s">
        <v>475</v>
      </c>
      <c r="B32" s="791"/>
      <c r="C32" s="792"/>
      <c r="D32" s="653">
        <f>$D$11</f>
        <v>120</v>
      </c>
    </row>
    <row r="33" spans="1:4" ht="15.75" customHeight="1" x14ac:dyDescent="0.2">
      <c r="A33" s="787" t="s">
        <v>476</v>
      </c>
      <c r="B33" s="788"/>
      <c r="C33" s="789"/>
      <c r="D33" s="654">
        <f>D31/D32</f>
        <v>36237.447500000002</v>
      </c>
    </row>
    <row r="34" spans="1:4" ht="14.25" customHeight="1" x14ac:dyDescent="0.2">
      <c r="A34" s="790" t="s">
        <v>477</v>
      </c>
      <c r="B34" s="791"/>
      <c r="C34" s="792"/>
      <c r="D34" s="655">
        <f>D33/(D14*D13)</f>
        <v>5.2166537167625256E-5</v>
      </c>
    </row>
  </sheetData>
  <sheetProtection password="DB60" sheet="1" objects="1" scenarios="1"/>
  <mergeCells count="19">
    <mergeCell ref="A21:C21"/>
    <mergeCell ref="A22:C22"/>
    <mergeCell ref="A20:C20"/>
    <mergeCell ref="A3:C3"/>
    <mergeCell ref="A4:C4"/>
    <mergeCell ref="A5:C5"/>
    <mergeCell ref="A6:C6"/>
    <mergeCell ref="A18:C18"/>
    <mergeCell ref="A19:C19"/>
    <mergeCell ref="A27:C27"/>
    <mergeCell ref="A28:C28"/>
    <mergeCell ref="A24:C24"/>
    <mergeCell ref="A25:C25"/>
    <mergeCell ref="A26:C26"/>
    <mergeCell ref="A33:C33"/>
    <mergeCell ref="A34:C34"/>
    <mergeCell ref="A30:C30"/>
    <mergeCell ref="A31:C31"/>
    <mergeCell ref="A32:C32"/>
  </mergeCells>
  <pageMargins left="0.35433070866141736" right="0.43307086614173229" top="0.39370078740157483" bottom="0.43307086614173229" header="0.19685039370078741" footer="0.19685039370078741"/>
  <pageSetup paperSize="9" scale="95" orientation="portrait" r:id="rId1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 sizeWithCells="1">
              <from>
                <xdr:col>1</xdr:col>
                <xdr:colOff>66675</xdr:colOff>
                <xdr:row>7</xdr:row>
                <xdr:rowOff>85725</xdr:rowOff>
              </from>
              <to>
                <xdr:col>1</xdr:col>
                <xdr:colOff>457200</xdr:colOff>
                <xdr:row>7</xdr:row>
                <xdr:rowOff>85725</xdr:rowOff>
              </to>
            </anchor>
          </objectPr>
        </oleObject>
      </mc:Choice>
      <mc:Fallback>
        <oleObject progId="Equation.3" shapeId="1025" r:id="rId4"/>
      </mc:Fallback>
    </mc:AlternateContent>
    <mc:AlternateContent xmlns:mc="http://schemas.openxmlformats.org/markup-compatibility/2006">
      <mc:Choice Requires="x14">
        <oleObject progId="Equation.3" shapeId="1026" r:id="rId6">
          <objectPr defaultSize="0" autoPict="0" r:id="rId5">
            <anchor moveWithCells="1" sizeWithCells="1">
              <from>
                <xdr:col>1</xdr:col>
                <xdr:colOff>66675</xdr:colOff>
                <xdr:row>7</xdr:row>
                <xdr:rowOff>85725</xdr:rowOff>
              </from>
              <to>
                <xdr:col>1</xdr:col>
                <xdr:colOff>457200</xdr:colOff>
                <xdr:row>7</xdr:row>
                <xdr:rowOff>85725</xdr:rowOff>
              </to>
            </anchor>
          </objectPr>
        </oleObject>
      </mc:Choice>
      <mc:Fallback>
        <oleObject progId="Equation.3" shapeId="1026" r:id="rId6"/>
      </mc:Fallback>
    </mc:AlternateContent>
    <mc:AlternateContent xmlns:mc="http://schemas.openxmlformats.org/markup-compatibility/2006">
      <mc:Choice Requires="x14">
        <oleObject progId="Equation.3" shapeId="1027" r:id="rId7">
          <objectPr defaultSize="0" autoPict="0" r:id="rId5">
            <anchor moveWithCells="1" sizeWithCells="1">
              <from>
                <xdr:col>1</xdr:col>
                <xdr:colOff>66675</xdr:colOff>
                <xdr:row>7</xdr:row>
                <xdr:rowOff>85725</xdr:rowOff>
              </from>
              <to>
                <xdr:col>1</xdr:col>
                <xdr:colOff>457200</xdr:colOff>
                <xdr:row>7</xdr:row>
                <xdr:rowOff>85725</xdr:rowOff>
              </to>
            </anchor>
          </objectPr>
        </oleObject>
      </mc:Choice>
      <mc:Fallback>
        <oleObject progId="Equation.3" shapeId="1027" r:id="rId7"/>
      </mc:Fallback>
    </mc:AlternateContent>
    <mc:AlternateContent xmlns:mc="http://schemas.openxmlformats.org/markup-compatibility/2006">
      <mc:Choice Requires="x14">
        <oleObject progId="Equation.3" shapeId="1028" r:id="rId8">
          <objectPr defaultSize="0" autoPict="0" r:id="rId5">
            <anchor moveWithCells="1" sizeWithCells="1">
              <from>
                <xdr:col>1</xdr:col>
                <xdr:colOff>66675</xdr:colOff>
                <xdr:row>7</xdr:row>
                <xdr:rowOff>85725</xdr:rowOff>
              </from>
              <to>
                <xdr:col>1</xdr:col>
                <xdr:colOff>457200</xdr:colOff>
                <xdr:row>7</xdr:row>
                <xdr:rowOff>85725</xdr:rowOff>
              </to>
            </anchor>
          </objectPr>
        </oleObject>
      </mc:Choice>
      <mc:Fallback>
        <oleObject progId="Equation.3" shapeId="1028" r:id="rId8"/>
      </mc:Fallback>
    </mc:AlternateContent>
    <mc:AlternateContent xmlns:mc="http://schemas.openxmlformats.org/markup-compatibility/2006">
      <mc:Choice Requires="x14">
        <oleObject progId="Equation.3" shapeId="1029" r:id="rId9">
          <objectPr defaultSize="0" autoPict="0" r:id="rId5">
            <anchor moveWithCells="1" sizeWithCells="1">
              <from>
                <xdr:col>1</xdr:col>
                <xdr:colOff>66675</xdr:colOff>
                <xdr:row>7</xdr:row>
                <xdr:rowOff>85725</xdr:rowOff>
              </from>
              <to>
                <xdr:col>1</xdr:col>
                <xdr:colOff>457200</xdr:colOff>
                <xdr:row>7</xdr:row>
                <xdr:rowOff>85725</xdr:rowOff>
              </to>
            </anchor>
          </objectPr>
        </oleObject>
      </mc:Choice>
      <mc:Fallback>
        <oleObject progId="Equation.3" shapeId="1029" r:id="rId9"/>
      </mc:Fallback>
    </mc:AlternateContent>
    <mc:AlternateContent xmlns:mc="http://schemas.openxmlformats.org/markup-compatibility/2006">
      <mc:Choice Requires="x14">
        <oleObject progId="Equation.3" shapeId="1030" r:id="rId10">
          <objectPr defaultSize="0" autoPict="0" r:id="rId5">
            <anchor moveWithCells="1" sizeWithCells="1">
              <from>
                <xdr:col>1</xdr:col>
                <xdr:colOff>66675</xdr:colOff>
                <xdr:row>7</xdr:row>
                <xdr:rowOff>85725</xdr:rowOff>
              </from>
              <to>
                <xdr:col>1</xdr:col>
                <xdr:colOff>457200</xdr:colOff>
                <xdr:row>7</xdr:row>
                <xdr:rowOff>85725</xdr:rowOff>
              </to>
            </anchor>
          </objectPr>
        </oleObject>
      </mc:Choice>
      <mc:Fallback>
        <oleObject progId="Equation.3" shapeId="1030" r:id="rId10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7" zoomScaleNormal="100" workbookViewId="0">
      <selection activeCell="D6" sqref="D6"/>
    </sheetView>
  </sheetViews>
  <sheetFormatPr defaultRowHeight="12.75" x14ac:dyDescent="0.2"/>
  <cols>
    <col min="1" max="1" width="9.28515625" style="635" customWidth="1"/>
    <col min="2" max="2" width="55.5703125" style="635" customWidth="1"/>
    <col min="3" max="3" width="15.42578125" style="635" customWidth="1"/>
    <col min="4" max="4" width="16.140625" style="635" customWidth="1"/>
    <col min="7" max="7" width="9.140625" style="635"/>
    <col min="8" max="8" width="14.28515625" style="635" bestFit="1" customWidth="1"/>
    <col min="9" max="16384" width="9.140625" style="635"/>
  </cols>
  <sheetData>
    <row r="1" spans="1:4" x14ac:dyDescent="0.2">
      <c r="A1" s="667" t="s">
        <v>530</v>
      </c>
      <c r="B1" s="690"/>
      <c r="C1" s="690"/>
      <c r="D1" s="690"/>
    </row>
    <row r="2" spans="1:4" x14ac:dyDescent="0.2">
      <c r="A2" s="637"/>
      <c r="B2" s="637"/>
      <c r="C2" s="637"/>
      <c r="D2" s="637"/>
    </row>
    <row r="3" spans="1:4" x14ac:dyDescent="0.2">
      <c r="A3" s="805" t="s">
        <v>449</v>
      </c>
      <c r="B3" s="805"/>
      <c r="C3" s="805"/>
      <c r="D3" s="640" t="s">
        <v>137</v>
      </c>
    </row>
    <row r="4" spans="1:4" x14ac:dyDescent="0.2">
      <c r="A4" s="806" t="s">
        <v>478</v>
      </c>
      <c r="B4" s="796"/>
      <c r="C4" s="796"/>
      <c r="D4" s="658">
        <f>D16</f>
        <v>208277450.43000001</v>
      </c>
    </row>
    <row r="5" spans="1:4" x14ac:dyDescent="0.2">
      <c r="A5" s="797" t="s">
        <v>479</v>
      </c>
      <c r="B5" s="798"/>
      <c r="C5" s="799"/>
      <c r="D5" s="658">
        <f>D21</f>
        <v>5657230.3269999987</v>
      </c>
    </row>
    <row r="6" spans="1:4" x14ac:dyDescent="0.2">
      <c r="A6" s="796" t="s">
        <v>451</v>
      </c>
      <c r="B6" s="796"/>
      <c r="C6" s="796"/>
      <c r="D6" s="658">
        <v>0</v>
      </c>
    </row>
    <row r="7" spans="1:4" x14ac:dyDescent="0.2">
      <c r="A7" s="797" t="s">
        <v>452</v>
      </c>
      <c r="B7" s="798"/>
      <c r="C7" s="799"/>
      <c r="D7" s="658">
        <f>D31</f>
        <v>4348493.7</v>
      </c>
    </row>
    <row r="8" spans="1:4" x14ac:dyDescent="0.2">
      <c r="A8" s="691"/>
      <c r="B8" s="691"/>
      <c r="C8" s="692"/>
      <c r="D8" s="693"/>
    </row>
    <row r="9" spans="1:4" x14ac:dyDescent="0.2">
      <c r="A9" s="641" t="s">
        <v>458</v>
      </c>
      <c r="B9" s="639" t="s">
        <v>459</v>
      </c>
      <c r="C9" s="638" t="s">
        <v>96</v>
      </c>
      <c r="D9" s="646">
        <f>'[2]04 Frota'!D39</f>
        <v>406465.34834094916</v>
      </c>
    </row>
    <row r="10" spans="1:4" ht="13.5" customHeight="1" x14ac:dyDescent="0.2">
      <c r="A10" s="638" t="s">
        <v>460</v>
      </c>
      <c r="B10" s="647" t="s">
        <v>461</v>
      </c>
      <c r="C10" s="638" t="s">
        <v>462</v>
      </c>
      <c r="D10" s="648">
        <f>'[2]03 Dados_Oper'!B13</f>
        <v>1709</v>
      </c>
    </row>
    <row r="11" spans="1:4" ht="27.75" customHeight="1" x14ac:dyDescent="0.2">
      <c r="A11" s="638" t="s">
        <v>480</v>
      </c>
      <c r="B11" s="639" t="s">
        <v>481</v>
      </c>
      <c r="C11" s="659" t="str">
        <f>'[2]02 Coeficientes'!F58</f>
        <v>INPC</v>
      </c>
      <c r="D11" s="660">
        <f>'[2]02 Coeficientes'!$B$58/100</f>
        <v>6.2300000000000001E-2</v>
      </c>
    </row>
    <row r="12" spans="1:4" x14ac:dyDescent="0.2">
      <c r="A12" s="649"/>
      <c r="B12" s="637"/>
      <c r="C12" s="637"/>
      <c r="D12" s="637"/>
    </row>
    <row r="13" spans="1:4" x14ac:dyDescent="0.2">
      <c r="A13" s="636" t="s">
        <v>482</v>
      </c>
      <c r="B13" s="637"/>
      <c r="C13" s="637"/>
      <c r="D13" s="650"/>
    </row>
    <row r="14" spans="1:4" x14ac:dyDescent="0.2">
      <c r="A14" s="636"/>
      <c r="B14" s="637"/>
      <c r="C14" s="637"/>
      <c r="D14" s="651"/>
    </row>
    <row r="15" spans="1:4" ht="26.25" customHeight="1" x14ac:dyDescent="0.2">
      <c r="A15" s="801" t="s">
        <v>483</v>
      </c>
      <c r="B15" s="801"/>
      <c r="C15" s="802"/>
      <c r="D15" s="640" t="s">
        <v>137</v>
      </c>
    </row>
    <row r="16" spans="1:4" x14ac:dyDescent="0.2">
      <c r="A16" s="787" t="s">
        <v>484</v>
      </c>
      <c r="B16" s="788"/>
      <c r="C16" s="789"/>
      <c r="D16" s="652">
        <f>'Aux.02.03 Ativo Imobilizado'!B22</f>
        <v>208277450.43000001</v>
      </c>
    </row>
    <row r="17" spans="1:4" x14ac:dyDescent="0.2">
      <c r="A17" s="787" t="s">
        <v>485</v>
      </c>
      <c r="B17" s="788"/>
      <c r="C17" s="789"/>
      <c r="D17" s="652">
        <f>D16*D11</f>
        <v>12975685.161789</v>
      </c>
    </row>
    <row r="18" spans="1:4" x14ac:dyDescent="0.2">
      <c r="A18" s="787" t="s">
        <v>486</v>
      </c>
      <c r="B18" s="788"/>
      <c r="C18" s="789"/>
      <c r="D18" s="661">
        <f>D17/(D9*D10)/12</f>
        <v>1.5566230721867421E-3</v>
      </c>
    </row>
    <row r="19" spans="1:4" x14ac:dyDescent="0.2">
      <c r="A19" s="656"/>
      <c r="B19" s="637"/>
      <c r="C19" s="637"/>
      <c r="D19" s="657"/>
    </row>
    <row r="20" spans="1:4" x14ac:dyDescent="0.2">
      <c r="A20" s="803" t="s">
        <v>487</v>
      </c>
      <c r="B20" s="803"/>
      <c r="C20" s="804"/>
      <c r="D20" s="640" t="s">
        <v>137</v>
      </c>
    </row>
    <row r="21" spans="1:4" x14ac:dyDescent="0.2">
      <c r="A21" s="787" t="s">
        <v>488</v>
      </c>
      <c r="B21" s="788"/>
      <c r="C21" s="789"/>
      <c r="D21" s="652">
        <f>'Aux.02.05 Almoxarifado'!O19</f>
        <v>5657230.3269999987</v>
      </c>
    </row>
    <row r="22" spans="1:4" x14ac:dyDescent="0.2">
      <c r="A22" s="787" t="s">
        <v>485</v>
      </c>
      <c r="B22" s="788"/>
      <c r="C22" s="789"/>
      <c r="D22" s="652">
        <f>D21*D11</f>
        <v>352445.44937209995</v>
      </c>
    </row>
    <row r="23" spans="1:4" x14ac:dyDescent="0.2">
      <c r="A23" s="787" t="s">
        <v>489</v>
      </c>
      <c r="B23" s="788"/>
      <c r="C23" s="789"/>
      <c r="D23" s="661">
        <f>D22/(D9*D10)/12</f>
        <v>4.2280982571574236E-5</v>
      </c>
    </row>
    <row r="24" spans="1:4" x14ac:dyDescent="0.2">
      <c r="A24" s="656"/>
      <c r="B24" s="637"/>
      <c r="C24" s="637"/>
      <c r="D24" s="657"/>
    </row>
    <row r="25" spans="1:4" ht="27" customHeight="1" x14ac:dyDescent="0.2">
      <c r="A25" s="801" t="s">
        <v>490</v>
      </c>
      <c r="B25" s="801"/>
      <c r="C25" s="802"/>
      <c r="D25" s="640" t="s">
        <v>137</v>
      </c>
    </row>
    <row r="26" spans="1:4" x14ac:dyDescent="0.2">
      <c r="A26" s="787" t="s">
        <v>469</v>
      </c>
      <c r="B26" s="788"/>
      <c r="C26" s="789"/>
      <c r="D26" s="652">
        <v>0</v>
      </c>
    </row>
    <row r="27" spans="1:4" x14ac:dyDescent="0.2">
      <c r="A27" s="787" t="s">
        <v>485</v>
      </c>
      <c r="B27" s="788"/>
      <c r="C27" s="789"/>
      <c r="D27" s="652">
        <f>D26*D11</f>
        <v>0</v>
      </c>
    </row>
    <row r="28" spans="1:4" x14ac:dyDescent="0.2">
      <c r="A28" s="787" t="s">
        <v>491</v>
      </c>
      <c r="B28" s="788"/>
      <c r="C28" s="789"/>
      <c r="D28" s="661">
        <f>D27/(D9*D10)/12</f>
        <v>0</v>
      </c>
    </row>
    <row r="29" spans="1:4" x14ac:dyDescent="0.2">
      <c r="A29" s="637"/>
      <c r="B29" s="637"/>
      <c r="C29" s="637"/>
      <c r="D29" s="637"/>
    </row>
    <row r="30" spans="1:4" x14ac:dyDescent="0.2">
      <c r="A30" s="803" t="s">
        <v>492</v>
      </c>
      <c r="B30" s="803"/>
      <c r="C30" s="804"/>
      <c r="D30" s="640" t="s">
        <v>137</v>
      </c>
    </row>
    <row r="31" spans="1:4" x14ac:dyDescent="0.2">
      <c r="A31" s="787" t="s">
        <v>474</v>
      </c>
      <c r="B31" s="788"/>
      <c r="C31" s="789"/>
      <c r="D31" s="652">
        <f>'Aux.02.03 Ativo Imobilizado'!C22</f>
        <v>4348493.7</v>
      </c>
    </row>
    <row r="32" spans="1:4" x14ac:dyDescent="0.2">
      <c r="A32" s="787" t="s">
        <v>485</v>
      </c>
      <c r="B32" s="788"/>
      <c r="C32" s="789"/>
      <c r="D32" s="652">
        <f>D31*D11</f>
        <v>270911.15750999999</v>
      </c>
    </row>
    <row r="33" spans="1:4" x14ac:dyDescent="0.2">
      <c r="A33" s="787" t="s">
        <v>493</v>
      </c>
      <c r="B33" s="788"/>
      <c r="C33" s="789"/>
      <c r="D33" s="661">
        <f>D32/(D9*D10)/12</f>
        <v>3.2499752655430529E-5</v>
      </c>
    </row>
  </sheetData>
  <sheetProtection password="DB60" sheet="1" objects="1" scenarios="1"/>
  <mergeCells count="21">
    <mergeCell ref="A15:C15"/>
    <mergeCell ref="A3:C3"/>
    <mergeCell ref="A4:C4"/>
    <mergeCell ref="A5:C5"/>
    <mergeCell ref="A6:C6"/>
    <mergeCell ref="A7:C7"/>
    <mergeCell ref="A18:C18"/>
    <mergeCell ref="A20:C20"/>
    <mergeCell ref="A21:C21"/>
    <mergeCell ref="A16:C16"/>
    <mergeCell ref="A17:C17"/>
    <mergeCell ref="A25:C25"/>
    <mergeCell ref="A26:C26"/>
    <mergeCell ref="A27:C27"/>
    <mergeCell ref="A22:C22"/>
    <mergeCell ref="A23:C23"/>
    <mergeCell ref="A32:C32"/>
    <mergeCell ref="A33:C33"/>
    <mergeCell ref="A28:C28"/>
    <mergeCell ref="A30:C30"/>
    <mergeCell ref="A31:C31"/>
  </mergeCells>
  <pageMargins left="0.31496062992125984" right="0.31496062992125984" top="0.35433070866141736" bottom="0.35433070866141736" header="0.19685039370078741" footer="0.19685039370078741"/>
  <pageSetup paperSize="9" scale="95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D6" sqref="D6"/>
    </sheetView>
  </sheetViews>
  <sheetFormatPr defaultRowHeight="15" x14ac:dyDescent="0.25"/>
  <cols>
    <col min="1" max="1" width="18.7109375" style="662" customWidth="1"/>
    <col min="2" max="2" width="26" style="664" customWidth="1"/>
    <col min="3" max="3" width="14" style="662" customWidth="1"/>
    <col min="4" max="4" width="15.42578125" style="662" customWidth="1"/>
    <col min="5" max="9" width="12.7109375" style="662" bestFit="1" customWidth="1"/>
    <col min="10" max="10" width="12" style="662" bestFit="1" customWidth="1"/>
    <col min="11" max="16384" width="9.140625" style="662"/>
  </cols>
  <sheetData>
    <row r="1" spans="1:4" x14ac:dyDescent="0.25">
      <c r="A1" s="667" t="s">
        <v>531</v>
      </c>
      <c r="B1" s="682"/>
      <c r="C1" s="683"/>
      <c r="D1" s="683"/>
    </row>
    <row r="2" spans="1:4" x14ac:dyDescent="0.25">
      <c r="A2" s="668"/>
      <c r="B2" s="669"/>
      <c r="C2" s="668"/>
      <c r="D2" s="668"/>
    </row>
    <row r="3" spans="1:4" x14ac:dyDescent="0.25">
      <c r="A3" s="105" t="s">
        <v>494</v>
      </c>
      <c r="B3" s="684" t="s">
        <v>495</v>
      </c>
      <c r="C3" s="105"/>
      <c r="D3" s="105"/>
    </row>
    <row r="4" spans="1:4" ht="27" customHeight="1" x14ac:dyDescent="0.25">
      <c r="A4" s="105" t="s">
        <v>496</v>
      </c>
      <c r="B4" s="685" t="s">
        <v>497</v>
      </c>
      <c r="C4" s="685" t="s">
        <v>452</v>
      </c>
      <c r="D4" s="685" t="s">
        <v>406</v>
      </c>
    </row>
    <row r="5" spans="1:4" x14ac:dyDescent="0.25">
      <c r="A5" s="671" t="s">
        <v>185</v>
      </c>
      <c r="B5" s="689">
        <v>127250805.47</v>
      </c>
      <c r="C5" s="686">
        <v>1466307.27</v>
      </c>
      <c r="D5" s="686">
        <v>128717112.74000001</v>
      </c>
    </row>
    <row r="6" spans="1:4" x14ac:dyDescent="0.25">
      <c r="A6" s="687" t="s">
        <v>498</v>
      </c>
      <c r="B6" s="689">
        <v>213326.19</v>
      </c>
      <c r="C6" s="686">
        <v>160442.73000000001</v>
      </c>
      <c r="D6" s="686">
        <v>373768.92000000004</v>
      </c>
    </row>
    <row r="7" spans="1:4" x14ac:dyDescent="0.25">
      <c r="A7" s="687" t="s">
        <v>499</v>
      </c>
      <c r="B7" s="689">
        <v>11204919.869999999</v>
      </c>
      <c r="C7" s="686">
        <v>195956.75</v>
      </c>
      <c r="D7" s="686">
        <v>11400876.619999999</v>
      </c>
    </row>
    <row r="8" spans="1:4" x14ac:dyDescent="0.25">
      <c r="A8" s="687" t="s">
        <v>500</v>
      </c>
      <c r="B8" s="689">
        <v>31449082.41</v>
      </c>
      <c r="C8" s="686">
        <v>436924.69999999995</v>
      </c>
      <c r="D8" s="686">
        <v>31886007.109999999</v>
      </c>
    </row>
    <row r="9" spans="1:4" x14ac:dyDescent="0.25">
      <c r="A9" s="687" t="s">
        <v>501</v>
      </c>
      <c r="B9" s="689">
        <v>27157145</v>
      </c>
      <c r="C9" s="686">
        <v>306777</v>
      </c>
      <c r="D9" s="686">
        <v>27463922</v>
      </c>
    </row>
    <row r="10" spans="1:4" x14ac:dyDescent="0.25">
      <c r="A10" s="687" t="s">
        <v>502</v>
      </c>
      <c r="B10" s="689">
        <v>57226332</v>
      </c>
      <c r="C10" s="686">
        <v>366206.09</v>
      </c>
      <c r="D10" s="686">
        <v>57592538.090000004</v>
      </c>
    </row>
    <row r="11" spans="1:4" x14ac:dyDescent="0.25">
      <c r="A11" s="671" t="s">
        <v>186</v>
      </c>
      <c r="B11" s="689">
        <v>13807923.210000001</v>
      </c>
      <c r="C11" s="686">
        <v>709919.66999999993</v>
      </c>
      <c r="D11" s="686">
        <v>14517842.879999999</v>
      </c>
    </row>
    <row r="12" spans="1:4" x14ac:dyDescent="0.25">
      <c r="A12" s="687" t="s">
        <v>503</v>
      </c>
      <c r="B12" s="689">
        <v>1310470.97</v>
      </c>
      <c r="C12" s="686">
        <v>53237.62</v>
      </c>
      <c r="D12" s="686">
        <v>1363708.59</v>
      </c>
    </row>
    <row r="13" spans="1:4" x14ac:dyDescent="0.25">
      <c r="A13" s="687" t="s">
        <v>504</v>
      </c>
      <c r="B13" s="689">
        <v>2345576.2400000002</v>
      </c>
      <c r="C13" s="686">
        <v>374000.05</v>
      </c>
      <c r="D13" s="686">
        <v>2719576.29</v>
      </c>
    </row>
    <row r="14" spans="1:4" x14ac:dyDescent="0.25">
      <c r="A14" s="687" t="s">
        <v>505</v>
      </c>
      <c r="B14" s="689">
        <v>10151876</v>
      </c>
      <c r="C14" s="686">
        <v>282682</v>
      </c>
      <c r="D14" s="686">
        <v>10434558</v>
      </c>
    </row>
    <row r="15" spans="1:4" x14ac:dyDescent="0.25">
      <c r="A15" s="671" t="s">
        <v>402</v>
      </c>
      <c r="B15" s="689">
        <v>31654585.060000002</v>
      </c>
      <c r="C15" s="686">
        <v>502316.75</v>
      </c>
      <c r="D15" s="686">
        <v>32156901.810000002</v>
      </c>
    </row>
    <row r="16" spans="1:4" x14ac:dyDescent="0.25">
      <c r="A16" s="687" t="s">
        <v>386</v>
      </c>
      <c r="B16" s="689">
        <v>31654585.060000002</v>
      </c>
      <c r="C16" s="686">
        <v>502316.75</v>
      </c>
      <c r="D16" s="686">
        <v>32156901.810000002</v>
      </c>
    </row>
    <row r="17" spans="1:4" x14ac:dyDescent="0.25">
      <c r="A17" s="671" t="s">
        <v>184</v>
      </c>
      <c r="B17" s="689">
        <v>35564136.689999998</v>
      </c>
      <c r="C17" s="686">
        <v>1669950.01</v>
      </c>
      <c r="D17" s="686">
        <v>37234086.700000003</v>
      </c>
    </row>
    <row r="18" spans="1:4" x14ac:dyDescent="0.25">
      <c r="A18" s="687" t="s">
        <v>506</v>
      </c>
      <c r="B18" s="689">
        <v>2352533.2400000002</v>
      </c>
      <c r="C18" s="686"/>
      <c r="D18" s="686">
        <v>2352533.2400000002</v>
      </c>
    </row>
    <row r="19" spans="1:4" x14ac:dyDescent="0.25">
      <c r="A19" s="687" t="s">
        <v>507</v>
      </c>
      <c r="B19" s="689">
        <v>2961712.17</v>
      </c>
      <c r="C19" s="686">
        <v>267327.90000000002</v>
      </c>
      <c r="D19" s="686">
        <v>3229040.07</v>
      </c>
    </row>
    <row r="20" spans="1:4" x14ac:dyDescent="0.25">
      <c r="A20" s="687" t="s">
        <v>508</v>
      </c>
      <c r="B20" s="689">
        <v>11082816</v>
      </c>
      <c r="C20" s="686">
        <v>1035951.13</v>
      </c>
      <c r="D20" s="686">
        <v>12118767.130000001</v>
      </c>
    </row>
    <row r="21" spans="1:4" x14ac:dyDescent="0.25">
      <c r="A21" s="687" t="s">
        <v>509</v>
      </c>
      <c r="B21" s="689">
        <v>19167075.280000001</v>
      </c>
      <c r="C21" s="686">
        <v>366670.98</v>
      </c>
      <c r="D21" s="686">
        <v>19533746.260000002</v>
      </c>
    </row>
    <row r="22" spans="1:4" x14ac:dyDescent="0.25">
      <c r="A22" s="671" t="s">
        <v>406</v>
      </c>
      <c r="B22" s="689">
        <v>208277450.43000001</v>
      </c>
      <c r="C22" s="686">
        <v>4348493.7</v>
      </c>
      <c r="D22" s="686">
        <v>212625944.13</v>
      </c>
    </row>
    <row r="23" spans="1:4" ht="9.75" customHeight="1" x14ac:dyDescent="0.25">
      <c r="A23" s="668"/>
      <c r="B23" s="669"/>
      <c r="C23" s="668"/>
      <c r="D23" s="668"/>
    </row>
    <row r="24" spans="1:4" x14ac:dyDescent="0.25">
      <c r="A24" s="688" t="s">
        <v>510</v>
      </c>
      <c r="B24" s="669"/>
      <c r="C24" s="668"/>
      <c r="D24" s="668"/>
    </row>
    <row r="25" spans="1:4" ht="12.75" customHeight="1" x14ac:dyDescent="0.25">
      <c r="A25" s="668"/>
      <c r="B25" s="669"/>
      <c r="C25" s="668"/>
      <c r="D25" s="668"/>
    </row>
    <row r="26" spans="1:4" x14ac:dyDescent="0.25">
      <c r="A26" s="668" t="s">
        <v>511</v>
      </c>
      <c r="B26" s="669"/>
      <c r="C26" s="668"/>
      <c r="D26" s="668"/>
    </row>
    <row r="27" spans="1:4" x14ac:dyDescent="0.25">
      <c r="A27" s="668" t="s">
        <v>512</v>
      </c>
      <c r="B27" s="669"/>
      <c r="C27" s="668"/>
      <c r="D27" s="668"/>
    </row>
    <row r="28" spans="1:4" ht="11.25" customHeight="1" x14ac:dyDescent="0.25"/>
    <row r="41" spans="4:5" x14ac:dyDescent="0.25">
      <c r="D41" s="665"/>
      <c r="E41" s="665"/>
    </row>
    <row r="42" spans="4:5" x14ac:dyDescent="0.25">
      <c r="D42" s="665"/>
      <c r="E42" s="665"/>
    </row>
    <row r="43" spans="4:5" x14ac:dyDescent="0.25">
      <c r="D43" s="665"/>
      <c r="E43" s="665"/>
    </row>
    <row r="44" spans="4:5" x14ac:dyDescent="0.25">
      <c r="D44" s="665"/>
      <c r="E44" s="665"/>
    </row>
    <row r="45" spans="4:5" x14ac:dyDescent="0.25">
      <c r="D45" s="665"/>
      <c r="E45" s="665"/>
    </row>
    <row r="46" spans="4:5" x14ac:dyDescent="0.25">
      <c r="D46" s="665"/>
      <c r="E46" s="665"/>
    </row>
  </sheetData>
  <sheetProtection password="DB60" sheet="1" objects="1" scenarios="1"/>
  <pageMargins left="0.27559055118110237" right="0.27559055118110237" top="0.39370078740157483" bottom="0.31496062992125984" header="0.19685039370078741" footer="0.19685039370078741"/>
  <pageSetup paperSize="9" orientation="portrait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D6" sqref="D6"/>
    </sheetView>
  </sheetViews>
  <sheetFormatPr defaultRowHeight="15" x14ac:dyDescent="0.25"/>
  <cols>
    <col min="1" max="1" width="20.5703125" style="662" customWidth="1"/>
    <col min="2" max="2" width="21.5703125" style="664" customWidth="1"/>
    <col min="3" max="3" width="16.28515625" style="662" customWidth="1"/>
    <col min="4" max="4" width="22.28515625" style="662" bestFit="1" customWidth="1"/>
    <col min="5" max="5" width="28" style="662" bestFit="1" customWidth="1"/>
    <col min="6" max="6" width="28.5703125" style="662" bestFit="1" customWidth="1"/>
    <col min="7" max="7" width="12.7109375" style="662" bestFit="1" customWidth="1"/>
    <col min="8" max="8" width="24.85546875" style="662" bestFit="1" customWidth="1"/>
    <col min="9" max="9" width="25" style="662" bestFit="1" customWidth="1"/>
    <col min="10" max="10" width="20.85546875" style="662" bestFit="1" customWidth="1"/>
    <col min="11" max="11" width="18.5703125" style="662" bestFit="1" customWidth="1"/>
    <col min="12" max="12" width="13.85546875" style="662" bestFit="1" customWidth="1"/>
    <col min="13" max="13" width="18.7109375" style="662" customWidth="1"/>
    <col min="14" max="14" width="13.85546875" style="662" customWidth="1"/>
    <col min="15" max="15" width="22.85546875" style="662" bestFit="1" customWidth="1"/>
    <col min="16" max="16" width="13.85546875" style="662" bestFit="1" customWidth="1"/>
    <col min="17" max="16384" width="9.140625" style="662"/>
  </cols>
  <sheetData>
    <row r="1" spans="1:16" x14ac:dyDescent="0.25">
      <c r="A1" s="667" t="s">
        <v>533</v>
      </c>
      <c r="B1" s="682"/>
      <c r="C1" s="683"/>
    </row>
    <row r="2" spans="1:16" x14ac:dyDescent="0.25">
      <c r="A2" s="668"/>
      <c r="B2" s="669"/>
      <c r="C2" s="668"/>
    </row>
    <row r="3" spans="1:16" x14ac:dyDescent="0.25">
      <c r="A3" s="105" t="s">
        <v>494</v>
      </c>
      <c r="B3" s="105" t="s">
        <v>495</v>
      </c>
      <c r="C3" s="105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27" customHeight="1" x14ac:dyDescent="0.25">
      <c r="A4" s="105" t="s">
        <v>496</v>
      </c>
      <c r="B4" s="684" t="s">
        <v>513</v>
      </c>
      <c r="C4" s="685" t="s">
        <v>406</v>
      </c>
      <c r="D4"/>
      <c r="E4"/>
      <c r="F4"/>
      <c r="G4"/>
      <c r="H4"/>
      <c r="I4"/>
      <c r="J4"/>
      <c r="K4"/>
      <c r="L4"/>
      <c r="M4"/>
      <c r="N4"/>
      <c r="O4"/>
      <c r="P4"/>
    </row>
    <row r="5" spans="1:16" x14ac:dyDescent="0.25">
      <c r="A5" s="671" t="s">
        <v>185</v>
      </c>
      <c r="B5" s="686">
        <v>96924797.50999999</v>
      </c>
      <c r="C5" s="686">
        <v>96924797.50999999</v>
      </c>
      <c r="D5"/>
      <c r="E5"/>
      <c r="F5"/>
      <c r="G5"/>
      <c r="H5"/>
      <c r="I5"/>
      <c r="J5"/>
      <c r="K5"/>
      <c r="L5"/>
      <c r="M5"/>
      <c r="N5"/>
      <c r="O5"/>
      <c r="P5"/>
    </row>
    <row r="6" spans="1:16" x14ac:dyDescent="0.25">
      <c r="A6" s="687" t="s">
        <v>499</v>
      </c>
      <c r="B6" s="686">
        <v>4073922.51</v>
      </c>
      <c r="C6" s="686">
        <v>4073922.51</v>
      </c>
      <c r="D6"/>
      <c r="E6"/>
      <c r="F6"/>
      <c r="G6"/>
      <c r="H6"/>
      <c r="I6"/>
      <c r="J6"/>
      <c r="K6"/>
      <c r="L6"/>
      <c r="M6"/>
      <c r="N6"/>
      <c r="O6"/>
      <c r="P6"/>
    </row>
    <row r="7" spans="1:16" x14ac:dyDescent="0.25">
      <c r="A7" s="687" t="s">
        <v>500</v>
      </c>
      <c r="B7" s="686">
        <v>27975050</v>
      </c>
      <c r="C7" s="686">
        <v>27975050</v>
      </c>
      <c r="D7"/>
      <c r="E7"/>
      <c r="F7"/>
      <c r="G7"/>
      <c r="H7"/>
      <c r="I7"/>
      <c r="J7"/>
      <c r="K7"/>
      <c r="L7"/>
      <c r="M7"/>
      <c r="N7"/>
      <c r="O7"/>
      <c r="P7"/>
    </row>
    <row r="8" spans="1:16" x14ac:dyDescent="0.25">
      <c r="A8" s="687" t="s">
        <v>501</v>
      </c>
      <c r="B8" s="686">
        <v>20973629</v>
      </c>
      <c r="C8" s="686">
        <v>20973629</v>
      </c>
      <c r="D8"/>
      <c r="E8"/>
      <c r="F8"/>
      <c r="G8"/>
      <c r="H8"/>
      <c r="I8"/>
      <c r="J8"/>
      <c r="K8"/>
      <c r="L8"/>
      <c r="M8"/>
      <c r="N8"/>
      <c r="O8"/>
      <c r="P8"/>
    </row>
    <row r="9" spans="1:16" x14ac:dyDescent="0.25">
      <c r="A9" s="687" t="s">
        <v>502</v>
      </c>
      <c r="B9" s="686">
        <v>43902196</v>
      </c>
      <c r="C9" s="686">
        <v>43902196</v>
      </c>
      <c r="D9"/>
      <c r="E9"/>
      <c r="F9"/>
      <c r="G9"/>
      <c r="H9"/>
      <c r="I9"/>
      <c r="J9"/>
      <c r="K9"/>
      <c r="L9"/>
      <c r="M9"/>
      <c r="N9"/>
      <c r="O9"/>
      <c r="P9"/>
    </row>
    <row r="10" spans="1:16" x14ac:dyDescent="0.25">
      <c r="A10" s="671" t="s">
        <v>186</v>
      </c>
      <c r="B10" s="686">
        <v>5332053.66</v>
      </c>
      <c r="C10" s="686">
        <v>5332053.66</v>
      </c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x14ac:dyDescent="0.25">
      <c r="A11" s="687" t="s">
        <v>503</v>
      </c>
      <c r="B11" s="686">
        <v>130418.42</v>
      </c>
      <c r="C11" s="686">
        <v>130418.42</v>
      </c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x14ac:dyDescent="0.25">
      <c r="A12" s="687" t="s">
        <v>504</v>
      </c>
      <c r="B12" s="686">
        <v>1635.24</v>
      </c>
      <c r="C12" s="686">
        <v>1635.24</v>
      </c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x14ac:dyDescent="0.25">
      <c r="A13" s="687" t="s">
        <v>505</v>
      </c>
      <c r="B13" s="686">
        <v>5200000</v>
      </c>
      <c r="C13" s="686">
        <v>5200000</v>
      </c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x14ac:dyDescent="0.25">
      <c r="A14" s="671" t="s">
        <v>402</v>
      </c>
      <c r="B14" s="686">
        <v>11289999.25</v>
      </c>
      <c r="C14" s="686">
        <v>11289999.25</v>
      </c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x14ac:dyDescent="0.25">
      <c r="A15" s="687" t="s">
        <v>386</v>
      </c>
      <c r="B15" s="686">
        <v>11289999.25</v>
      </c>
      <c r="C15" s="686">
        <v>11289999.25</v>
      </c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x14ac:dyDescent="0.25">
      <c r="A16" s="671" t="s">
        <v>184</v>
      </c>
      <c r="B16" s="686">
        <v>17569640.27</v>
      </c>
      <c r="C16" s="686">
        <v>17569640.27</v>
      </c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 x14ac:dyDescent="0.25">
      <c r="A17" s="687" t="s">
        <v>507</v>
      </c>
      <c r="B17" s="686">
        <v>181663.34</v>
      </c>
      <c r="C17" s="686">
        <v>181663.34</v>
      </c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 x14ac:dyDescent="0.25">
      <c r="A18" s="687" t="s">
        <v>509</v>
      </c>
      <c r="B18" s="686">
        <v>17387976.93</v>
      </c>
      <c r="C18" s="686">
        <v>17387976.93</v>
      </c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x14ac:dyDescent="0.25">
      <c r="A19" s="671" t="s">
        <v>406</v>
      </c>
      <c r="B19" s="686">
        <v>131116490.69</v>
      </c>
      <c r="C19" s="686">
        <v>131116490.69</v>
      </c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x14ac:dyDescent="0.25">
      <c r="A20" s="105"/>
      <c r="B20" s="105"/>
      <c r="C20" s="105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x14ac:dyDescent="0.25">
      <c r="A21" s="688" t="s">
        <v>510</v>
      </c>
      <c r="B21" s="105"/>
      <c r="C21" s="105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</sheetData>
  <sheetProtection password="DB60" sheet="1" objects="1" scenarios="1"/>
  <pageMargins left="0.51181102362204722" right="0.51181102362204722" top="0.78740157480314965" bottom="0.78740157480314965" header="0.31496062992125984" footer="0.31496062992125984"/>
  <pageSetup paperSize="9" orientation="portrait"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zoomScaleNormal="100" workbookViewId="0">
      <selection activeCell="D6" sqref="D6"/>
    </sheetView>
  </sheetViews>
  <sheetFormatPr defaultRowHeight="12.75" x14ac:dyDescent="0.2"/>
  <cols>
    <col min="1" max="1" width="10.140625" style="663" customWidth="1"/>
    <col min="2" max="5" width="12.85546875" bestFit="1" customWidth="1"/>
    <col min="6" max="6" width="11.28515625" bestFit="1" customWidth="1"/>
    <col min="7" max="9" width="12.85546875" bestFit="1" customWidth="1"/>
    <col min="10" max="11" width="11.28515625" bestFit="1" customWidth="1"/>
    <col min="12" max="14" width="12.85546875" bestFit="1" customWidth="1"/>
    <col min="15" max="15" width="14" bestFit="1" customWidth="1"/>
  </cols>
  <sheetData>
    <row r="1" spans="1:15" x14ac:dyDescent="0.2">
      <c r="A1" s="667" t="s">
        <v>534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  <c r="N1" s="670"/>
      <c r="O1" s="670"/>
    </row>
    <row r="2" spans="1:15" x14ac:dyDescent="0.2">
      <c r="A2" s="671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5" x14ac:dyDescent="0.2">
      <c r="A3" s="672" t="s">
        <v>514</v>
      </c>
      <c r="B3" s="633" t="s">
        <v>386</v>
      </c>
      <c r="C3" s="633" t="s">
        <v>503</v>
      </c>
      <c r="D3" s="633" t="s">
        <v>504</v>
      </c>
      <c r="E3" s="633" t="s">
        <v>505</v>
      </c>
      <c r="F3" s="633" t="s">
        <v>506</v>
      </c>
      <c r="G3" s="633" t="s">
        <v>507</v>
      </c>
      <c r="H3" s="633" t="s">
        <v>508</v>
      </c>
      <c r="I3" s="633" t="s">
        <v>515</v>
      </c>
      <c r="J3" s="633" t="s">
        <v>498</v>
      </c>
      <c r="K3" s="633" t="s">
        <v>516</v>
      </c>
      <c r="L3" s="633" t="s">
        <v>500</v>
      </c>
      <c r="M3" s="633" t="s">
        <v>501</v>
      </c>
      <c r="N3" s="633" t="s">
        <v>517</v>
      </c>
      <c r="O3" s="633" t="s">
        <v>518</v>
      </c>
    </row>
    <row r="4" spans="1:15" x14ac:dyDescent="0.2">
      <c r="A4" s="673">
        <v>41275</v>
      </c>
      <c r="B4" s="674">
        <f>[3]Carris!P650</f>
        <v>655226.65</v>
      </c>
      <c r="C4" s="674">
        <f>[3]Navegantes!P336</f>
        <v>82632.41</v>
      </c>
      <c r="D4" s="674">
        <f>[3]Nortran!P736</f>
        <v>274849.75</v>
      </c>
      <c r="E4" s="674">
        <f>[3]Sopal!P591</f>
        <v>225598.02</v>
      </c>
      <c r="F4" s="674">
        <f>'[3]B Novo'!P568</f>
        <v>107454.732</v>
      </c>
      <c r="G4" s="674">
        <f>[3]Restinga!P852</f>
        <v>155642.65</v>
      </c>
      <c r="H4" s="674">
        <f>[3]Trevo!P458</f>
        <v>432750.71</v>
      </c>
      <c r="I4" s="674">
        <f>[3]Vtc!P631</f>
        <v>174463.74000000002</v>
      </c>
      <c r="J4" s="674">
        <f>[3]Estoril!P492</f>
        <v>44178.450000000004</v>
      </c>
      <c r="K4" s="674">
        <f>[3]Gazômetro!P516</f>
        <v>34264.090000000004</v>
      </c>
      <c r="L4" s="674">
        <f>'[3]Pres Vargas'!P492</f>
        <v>422829.73000000004</v>
      </c>
      <c r="M4" s="674">
        <f>[3]Sudeste!P677</f>
        <v>271420.81999999995</v>
      </c>
      <c r="N4" s="674">
        <f>[3]Vap!P570</f>
        <v>197058.55000000002</v>
      </c>
      <c r="O4" s="674">
        <f>SUM(B4:N4)</f>
        <v>3078370.3019999997</v>
      </c>
    </row>
    <row r="5" spans="1:15" x14ac:dyDescent="0.2">
      <c r="A5" s="673">
        <v>41306</v>
      </c>
      <c r="B5" s="674">
        <f>[3]Carris!P676</f>
        <v>442713.06</v>
      </c>
      <c r="C5" s="674">
        <f>[3]Navegantes!P381</f>
        <v>97728.43</v>
      </c>
      <c r="D5" s="674">
        <f>[3]Nortran!P816</f>
        <v>218860.62</v>
      </c>
      <c r="E5" s="674">
        <f>[3]Sopal!P660</f>
        <v>223152.16</v>
      </c>
      <c r="F5" s="674">
        <f>'[3]B Novo'!P634</f>
        <v>109048.44</v>
      </c>
      <c r="G5" s="674">
        <f>[3]Restinga!P956</f>
        <v>155021.53</v>
      </c>
      <c r="H5" s="674">
        <f>[3]Trevo!P506</f>
        <v>356349.14999999997</v>
      </c>
      <c r="I5" s="674">
        <f>[3]Vtc!P704</f>
        <v>139302.59</v>
      </c>
      <c r="J5" s="674">
        <f>[3]Estoril!P544</f>
        <v>42082.85</v>
      </c>
      <c r="K5" s="674">
        <f>[3]Gazômetro!P563</f>
        <v>38537.69</v>
      </c>
      <c r="L5" s="674">
        <f>'[3]Pres Vargas'!P544</f>
        <v>-222765.99999999997</v>
      </c>
      <c r="M5" s="674">
        <f>[3]Sudeste!P741</f>
        <v>262321.83999999997</v>
      </c>
      <c r="N5" s="674">
        <f>[3]Vap!P630</f>
        <v>177159.16</v>
      </c>
      <c r="O5" s="674">
        <f t="shared" ref="O5:O16" si="0">SUM(B5:N5)</f>
        <v>2039511.5199999998</v>
      </c>
    </row>
    <row r="6" spans="1:15" x14ac:dyDescent="0.2">
      <c r="A6" s="673">
        <v>41334</v>
      </c>
      <c r="B6" s="674">
        <f>[3]Carris!P704</f>
        <v>550792.03</v>
      </c>
      <c r="C6" s="674">
        <f>[3]Navegantes!P394</f>
        <v>108450.88999999998</v>
      </c>
      <c r="D6" s="674">
        <f>[3]Nortran!P844</f>
        <v>213204.66</v>
      </c>
      <c r="E6" s="674">
        <f>[3]Sopal!P683</f>
        <v>192440.63</v>
      </c>
      <c r="F6" s="674">
        <f>'[3]B Novo'!P656</f>
        <v>60462.559999999998</v>
      </c>
      <c r="G6" s="674">
        <f>[3]Restinga!P988</f>
        <v>142251.54</v>
      </c>
      <c r="H6" s="674">
        <f>[3]Trevo!P522</f>
        <v>314666.19999999995</v>
      </c>
      <c r="I6" s="674">
        <f>[3]Vtc!P727</f>
        <v>182574.54</v>
      </c>
      <c r="J6" s="674">
        <f>[3]Estoril!P562</f>
        <v>58910.080000000002</v>
      </c>
      <c r="K6" s="674">
        <f>[3]Gazômetro!P579</f>
        <v>38839.86</v>
      </c>
      <c r="L6" s="674">
        <f>'[3]Pres Vargas'!P564</f>
        <v>138832.95999999999</v>
      </c>
      <c r="M6" s="674">
        <f>[3]Sudeste!P763</f>
        <v>268418.55000000005</v>
      </c>
      <c r="N6" s="674">
        <f>[3]Vap!P650</f>
        <v>189296.56</v>
      </c>
      <c r="O6" s="674">
        <f t="shared" si="0"/>
        <v>2459141.06</v>
      </c>
    </row>
    <row r="7" spans="1:15" x14ac:dyDescent="0.2">
      <c r="A7" s="673">
        <v>41365</v>
      </c>
      <c r="B7" s="674">
        <f>[3]Carris!P732</f>
        <v>731473.59</v>
      </c>
      <c r="C7" s="674">
        <f>[3]Navegantes!P407</f>
        <v>129681.4</v>
      </c>
      <c r="D7" s="674">
        <f>[3]Nortran!P872</f>
        <v>439100.69</v>
      </c>
      <c r="E7" s="674">
        <f>[3]Sopal!P706</f>
        <v>334652.74999999994</v>
      </c>
      <c r="F7" s="674">
        <f>'[3]B Novo'!P678</f>
        <v>63941.56</v>
      </c>
      <c r="G7" s="674">
        <f>[3]Restinga!P1020</f>
        <v>223779.02000000002</v>
      </c>
      <c r="H7" s="674">
        <f>[3]Trevo!P538</f>
        <v>390666.57</v>
      </c>
      <c r="I7" s="674">
        <f>[3]Vtc!P750</f>
        <v>177626.68000000002</v>
      </c>
      <c r="J7" s="674">
        <f>[3]Estoril!P580</f>
        <v>54197.11</v>
      </c>
      <c r="K7" s="674">
        <f>[3]Gazômetro!P595</f>
        <v>41793.79</v>
      </c>
      <c r="L7" s="674">
        <f>'[3]Pres Vargas'!P584</f>
        <v>108581</v>
      </c>
      <c r="M7" s="674">
        <f>[3]Sudeste!P786</f>
        <v>297333.40999999997</v>
      </c>
      <c r="N7" s="674">
        <f>[3]Vap!P670</f>
        <v>216969.75</v>
      </c>
      <c r="O7" s="674">
        <f t="shared" si="0"/>
        <v>3209797.3200000003</v>
      </c>
    </row>
    <row r="8" spans="1:15" x14ac:dyDescent="0.2">
      <c r="A8" s="673">
        <v>41395</v>
      </c>
      <c r="B8" s="674">
        <f>[3]Carris!P760</f>
        <v>646022.68999999994</v>
      </c>
      <c r="C8" s="674">
        <f>[3]Navegantes!P422</f>
        <v>512.19000000000005</v>
      </c>
      <c r="D8" s="674">
        <f>[3]Nortran!P900</f>
        <v>266899.32</v>
      </c>
      <c r="E8" s="674">
        <f>[3]Sopal!P729</f>
        <v>278736.39999999997</v>
      </c>
      <c r="F8" s="674">
        <f>'[3]B Novo'!P700</f>
        <v>60798.33</v>
      </c>
      <c r="G8" s="674">
        <f>[3]Restinga!P1052</f>
        <v>212128.58</v>
      </c>
      <c r="H8" s="674">
        <f>[3]Trevo!P554</f>
        <v>397171.93</v>
      </c>
      <c r="I8" s="674">
        <f>[3]Vtc!P773</f>
        <v>146785.85999999999</v>
      </c>
      <c r="J8" s="674">
        <f>[3]Estoril!P598</f>
        <v>58099.159999999996</v>
      </c>
      <c r="K8" s="674">
        <f>[3]Gazômetro!P611</f>
        <v>19132.32</v>
      </c>
      <c r="L8" s="674">
        <f>'[3]Pres Vargas'!P604</f>
        <v>117796.83</v>
      </c>
      <c r="M8" s="674">
        <f>[3]Sudeste!P808</f>
        <v>268520.95999999996</v>
      </c>
      <c r="N8" s="674">
        <f>[3]Vap!P690</f>
        <v>225338.71</v>
      </c>
      <c r="O8" s="674">
        <f t="shared" si="0"/>
        <v>2697943.28</v>
      </c>
    </row>
    <row r="9" spans="1:15" x14ac:dyDescent="0.2">
      <c r="A9" s="673">
        <v>41426</v>
      </c>
      <c r="B9" s="674">
        <f>[3]Carris!P788</f>
        <v>612741.03999999992</v>
      </c>
      <c r="C9" s="674">
        <f>[3]Navegantes!P439</f>
        <v>109840.06</v>
      </c>
      <c r="D9" s="674">
        <f>[3]Nortran!P928</f>
        <v>270267.08</v>
      </c>
      <c r="E9" s="674">
        <f>[3]Sopal!P752</f>
        <v>221411.1</v>
      </c>
      <c r="F9" s="674">
        <f>'[3]B Novo'!P722</f>
        <v>65874.819999999992</v>
      </c>
      <c r="G9" s="674">
        <f>[3]Restinga!P1086</f>
        <v>164611.19</v>
      </c>
      <c r="H9" s="674">
        <f>[3]Trevo!P570</f>
        <v>367154.12999999995</v>
      </c>
      <c r="I9" s="674">
        <f>[3]Vtc!P796</f>
        <v>163577.1</v>
      </c>
      <c r="J9" s="674">
        <f>[3]Estoril!P614</f>
        <v>39512.050000000003</v>
      </c>
      <c r="K9" s="674">
        <f>[3]Gazômetro!P627</f>
        <v>23396.52</v>
      </c>
      <c r="L9" s="674">
        <f>'[3]Pres Vargas'!P622</f>
        <v>90101.440000000002</v>
      </c>
      <c r="M9" s="674">
        <f>[3]Sudeste!P828</f>
        <v>242780.13999999998</v>
      </c>
      <c r="N9" s="674">
        <f>[3]Vap!P710</f>
        <v>171590.11000000002</v>
      </c>
      <c r="O9" s="674">
        <f t="shared" si="0"/>
        <v>2542856.7800000003</v>
      </c>
    </row>
    <row r="10" spans="1:15" x14ac:dyDescent="0.2">
      <c r="A10" s="673">
        <v>41456</v>
      </c>
      <c r="B10" s="674">
        <f>[3]Carris!P816</f>
        <v>647399.64999999991</v>
      </c>
      <c r="C10" s="674">
        <f>[3]Navegantes!P455</f>
        <v>145145.39000000001</v>
      </c>
      <c r="D10" s="674">
        <f>[3]Nortran!P956</f>
        <v>229423.8</v>
      </c>
      <c r="E10" s="674">
        <f>[3]Sopal!P775</f>
        <v>244631.09</v>
      </c>
      <c r="F10" s="674">
        <f>'[3]B Novo'!P744</f>
        <v>59175.82</v>
      </c>
      <c r="G10" s="674">
        <f>[3]Restinga!P1120</f>
        <v>186970.67</v>
      </c>
      <c r="H10" s="674">
        <f>[3]Trevo!P586</f>
        <v>390837.14</v>
      </c>
      <c r="I10" s="674">
        <f>[3]Vtc!P819</f>
        <v>163577.1</v>
      </c>
      <c r="J10" s="674">
        <f>[3]Estoril!P630</f>
        <v>91351.24000000002</v>
      </c>
      <c r="K10" s="674">
        <f>[3]Gazômetro!P643</f>
        <v>18444.63</v>
      </c>
      <c r="L10" s="674">
        <f>'[3]Pres Vargas'!P642</f>
        <v>90715</v>
      </c>
      <c r="M10" s="674">
        <f>[3]Sudeste!P850</f>
        <v>300022.86</v>
      </c>
      <c r="N10" s="674">
        <f>[3]Vap!P730</f>
        <v>232147.42</v>
      </c>
      <c r="O10" s="674">
        <f t="shared" si="0"/>
        <v>2799841.81</v>
      </c>
    </row>
    <row r="11" spans="1:15" x14ac:dyDescent="0.2">
      <c r="A11" s="673">
        <v>41487</v>
      </c>
      <c r="B11" s="674">
        <f>[3]Carris!P844</f>
        <v>1083348.53</v>
      </c>
      <c r="C11" s="674">
        <f>[3]Navegantes!P472</f>
        <v>135387.59999999998</v>
      </c>
      <c r="D11" s="674">
        <f>[3]Nortran!P984</f>
        <v>-234043.45</v>
      </c>
      <c r="E11" s="674">
        <f>[3]Sopal!P798</f>
        <v>216494.50999999998</v>
      </c>
      <c r="F11" s="674">
        <f>'[3]B Novo'!P766</f>
        <v>48954.82</v>
      </c>
      <c r="G11" s="674">
        <f>[3]Restinga!P1154</f>
        <v>169063.76</v>
      </c>
      <c r="H11" s="674">
        <f>[3]Trevo!P604</f>
        <v>518499.47</v>
      </c>
      <c r="I11" s="674">
        <f>[3]Vtc!P842</f>
        <v>146953.04999999999</v>
      </c>
      <c r="J11" s="674">
        <f>[3]Estoril!P646</f>
        <v>57391.08</v>
      </c>
      <c r="K11" s="674">
        <f>[3]Gazômetro!P661</f>
        <v>39670.939999999995</v>
      </c>
      <c r="L11" s="674">
        <f>'[3]Pres Vargas'!P662</f>
        <v>99418.4</v>
      </c>
      <c r="M11" s="674">
        <f>[3]Sudeste!P875</f>
        <v>326275.90000000002</v>
      </c>
      <c r="N11" s="674">
        <f>[3]Vap!P750</f>
        <v>251925.63</v>
      </c>
      <c r="O11" s="674">
        <f t="shared" si="0"/>
        <v>2859340.2399999998</v>
      </c>
    </row>
    <row r="12" spans="1:15" x14ac:dyDescent="0.2">
      <c r="A12" s="673">
        <v>41518</v>
      </c>
      <c r="B12" s="674">
        <f>[3]Carris!P872</f>
        <v>797442.37</v>
      </c>
      <c r="C12" s="674">
        <f>[3]Navegantes!P484</f>
        <v>125300.96999999999</v>
      </c>
      <c r="D12" s="674">
        <f>[3]Nortran!P1012</f>
        <v>318312.63999999996</v>
      </c>
      <c r="E12" s="674">
        <f>[3]Sopal!P821</f>
        <v>206776.38</v>
      </c>
      <c r="F12" s="674">
        <f>'[3]B Novo'!P788</f>
        <v>42506.310000000005</v>
      </c>
      <c r="G12" s="674">
        <f>[3]Restinga!P1188</f>
        <v>156595.56</v>
      </c>
      <c r="H12" s="674">
        <f>[3]Trevo!P622</f>
        <v>436328.51</v>
      </c>
      <c r="I12" s="674">
        <f>[3]Vtc!P867</f>
        <v>183140.51</v>
      </c>
      <c r="J12" s="674">
        <f>[3]Estoril!P662</f>
        <v>41661.519999999997</v>
      </c>
      <c r="K12" s="674">
        <f>[3]Gazômetro!P679</f>
        <v>25385.64</v>
      </c>
      <c r="L12" s="674">
        <f>'[3]Pres Vargas'!P682</f>
        <v>84963.55</v>
      </c>
      <c r="M12" s="674">
        <f>[3]Sudeste!P900</f>
        <v>263154.09999999998</v>
      </c>
      <c r="N12" s="674">
        <f>[3]Vap!P770</f>
        <v>191156.68</v>
      </c>
      <c r="O12" s="674">
        <f t="shared" si="0"/>
        <v>2872724.74</v>
      </c>
    </row>
    <row r="13" spans="1:15" x14ac:dyDescent="0.2">
      <c r="A13" s="673">
        <v>41548</v>
      </c>
      <c r="B13" s="674">
        <f>[3]Carris!P900</f>
        <v>878088.66</v>
      </c>
      <c r="C13" s="674">
        <f>[3]Navegantes!P349</f>
        <v>137665.59</v>
      </c>
      <c r="D13" s="674">
        <f>[3]Nortran!P760</f>
        <v>268311.14</v>
      </c>
      <c r="E13" s="674">
        <f>[3]Sopal!P614</f>
        <v>260581.56</v>
      </c>
      <c r="F13" s="674">
        <f>'[3]B Novo'!P590</f>
        <v>51509.54</v>
      </c>
      <c r="G13" s="674">
        <f>[3]Restinga!P884</f>
        <v>204348.24</v>
      </c>
      <c r="H13" s="674">
        <f>[3]Trevo!P474</f>
        <v>492425.50999999995</v>
      </c>
      <c r="I13" s="674">
        <f>[3]Vtc!P654</f>
        <v>199564.83000000002</v>
      </c>
      <c r="J13" s="674">
        <f>[3]Estoril!P510</f>
        <v>43395.130000000005</v>
      </c>
      <c r="K13" s="674">
        <f>[3]Gazômetro!P531</f>
        <v>73881.62999999999</v>
      </c>
      <c r="L13" s="674">
        <f>'[3]Pres Vargas'!P512</f>
        <v>99677.16</v>
      </c>
      <c r="M13" s="674">
        <f>[3]Sudeste!P699</f>
        <v>362079.91000000003</v>
      </c>
      <c r="N13" s="674">
        <f>[3]Vap!P590</f>
        <v>227369.52</v>
      </c>
      <c r="O13" s="674">
        <f t="shared" si="0"/>
        <v>3298898.4200000004</v>
      </c>
    </row>
    <row r="14" spans="1:15" x14ac:dyDescent="0.2">
      <c r="A14" s="673">
        <v>41579</v>
      </c>
      <c r="B14" s="674">
        <f>[3]Carris!P928</f>
        <v>645395.77</v>
      </c>
      <c r="C14" s="674">
        <f>[3]Navegantes!P365</f>
        <v>107896.85</v>
      </c>
      <c r="D14" s="674">
        <f>[3]Nortran!P788</f>
        <v>212406.97999999998</v>
      </c>
      <c r="E14" s="674">
        <f>[3]Sopal!P637</f>
        <v>216115.01</v>
      </c>
      <c r="F14" s="674">
        <f>'[3]B Novo'!P612</f>
        <v>53989.04</v>
      </c>
      <c r="G14" s="674">
        <f>[3]Restinga!P920</f>
        <v>176289.89</v>
      </c>
      <c r="H14" s="674">
        <f>[3]Trevo!P490</f>
        <v>454418.68</v>
      </c>
      <c r="I14" s="674">
        <f>[3]Vtc!P679</f>
        <v>169457.22</v>
      </c>
      <c r="J14" s="674">
        <f>[3]Estoril!P526</f>
        <v>23910.26</v>
      </c>
      <c r="K14" s="674">
        <f>[3]Gazômetro!P547</f>
        <v>48559.130000000005</v>
      </c>
      <c r="L14" s="674">
        <f>'[3]Pres Vargas'!P528</f>
        <v>103785.28</v>
      </c>
      <c r="M14" s="674">
        <f>[3]Sudeste!P720</f>
        <v>306128.14</v>
      </c>
      <c r="N14" s="674">
        <f>[3]Vap!P610</f>
        <v>185314.81999999998</v>
      </c>
      <c r="O14" s="674">
        <f t="shared" si="0"/>
        <v>2703667.07</v>
      </c>
    </row>
    <row r="15" spans="1:15" x14ac:dyDescent="0.2">
      <c r="A15" s="673">
        <v>41609</v>
      </c>
      <c r="B15" s="674">
        <f>[3]Carris!P956</f>
        <v>1220946.6800000002</v>
      </c>
      <c r="C15" s="674">
        <f>[3]Navegantes!P322</f>
        <v>109444.63</v>
      </c>
      <c r="D15" s="674">
        <f>[3]Nortran!P708</f>
        <v>273189.74</v>
      </c>
      <c r="E15" s="674">
        <f>[3]Sopal!P570</f>
        <v>166980.58999999997</v>
      </c>
      <c r="F15" s="674">
        <f>'[3]B Novo'!P546</f>
        <v>119584.09000000001</v>
      </c>
      <c r="G15" s="674">
        <f>[3]Restinga!P816</f>
        <v>207662.52</v>
      </c>
      <c r="H15" s="674">
        <f>[3]Trevo!P442</f>
        <v>428012.93</v>
      </c>
      <c r="I15" s="674">
        <f>[3]Vtc!P606</f>
        <v>189787.28000000003</v>
      </c>
      <c r="J15" s="674">
        <f>[3]Estoril!P474</f>
        <v>28619.329999999998</v>
      </c>
      <c r="K15" s="674">
        <f>[3]Gazômetro!P502</f>
        <v>2751.58</v>
      </c>
      <c r="L15" s="674">
        <f>'[3]Pres Vargas'!P476</f>
        <v>90832.159999999989</v>
      </c>
      <c r="M15" s="674">
        <f>[3]Sudeste!P654</f>
        <v>282890.43000000005</v>
      </c>
      <c r="N15" s="674">
        <f>[3]Vap!P552</f>
        <v>260587.46</v>
      </c>
      <c r="O15" s="674">
        <f t="shared" si="0"/>
        <v>3381289.4200000004</v>
      </c>
    </row>
    <row r="16" spans="1:15" x14ac:dyDescent="0.2">
      <c r="A16" s="672" t="s">
        <v>519</v>
      </c>
      <c r="B16" s="675">
        <f>AVERAGE(B4:B15)</f>
        <v>742632.56</v>
      </c>
      <c r="C16" s="675">
        <f>AVERAGE(C4:C15)</f>
        <v>107473.86750000001</v>
      </c>
      <c r="D16" s="675">
        <f t="shared" ref="D16:N16" si="1">AVERAGE(D4:D15)</f>
        <v>229231.91416666665</v>
      </c>
      <c r="E16" s="675">
        <f t="shared" si="1"/>
        <v>232297.51666666669</v>
      </c>
      <c r="F16" s="676">
        <f t="shared" si="1"/>
        <v>70275.00516666667</v>
      </c>
      <c r="G16" s="676">
        <f t="shared" si="1"/>
        <v>179530.42916666667</v>
      </c>
      <c r="H16" s="676">
        <f t="shared" si="1"/>
        <v>414940.0774999999</v>
      </c>
      <c r="I16" s="676">
        <f t="shared" si="1"/>
        <v>169734.20833333334</v>
      </c>
      <c r="J16" s="676">
        <f t="shared" si="1"/>
        <v>48609.021666666675</v>
      </c>
      <c r="K16" s="676">
        <f t="shared" si="1"/>
        <v>33721.485000000001</v>
      </c>
      <c r="L16" s="676">
        <f t="shared" si="1"/>
        <v>102063.95916666667</v>
      </c>
      <c r="M16" s="676">
        <f t="shared" si="1"/>
        <v>287612.255</v>
      </c>
      <c r="N16" s="676">
        <f t="shared" si="1"/>
        <v>210492.86416666667</v>
      </c>
      <c r="O16" s="676">
        <f t="shared" si="0"/>
        <v>2828615.1634999993</v>
      </c>
    </row>
    <row r="17" spans="1:15" x14ac:dyDescent="0.2">
      <c r="A17" s="672" t="s">
        <v>3</v>
      </c>
      <c r="B17" s="675">
        <f>SUM(B4:B15)</f>
        <v>8911590.7200000007</v>
      </c>
      <c r="C17" s="675">
        <f t="shared" ref="C17:O17" si="2">SUM(C4:C15)</f>
        <v>1289686.4100000001</v>
      </c>
      <c r="D17" s="675">
        <f t="shared" si="2"/>
        <v>2750782.9699999997</v>
      </c>
      <c r="E17" s="675">
        <f t="shared" si="2"/>
        <v>2787570.2</v>
      </c>
      <c r="F17" s="675">
        <f t="shared" si="2"/>
        <v>843300.06200000003</v>
      </c>
      <c r="G17" s="675">
        <f t="shared" si="2"/>
        <v>2154365.15</v>
      </c>
      <c r="H17" s="675">
        <f t="shared" si="2"/>
        <v>4979280.9299999988</v>
      </c>
      <c r="I17" s="675">
        <f t="shared" si="2"/>
        <v>2036810.5000000002</v>
      </c>
      <c r="J17" s="675">
        <f t="shared" si="2"/>
        <v>583308.26000000013</v>
      </c>
      <c r="K17" s="675">
        <f t="shared" si="2"/>
        <v>404657.82</v>
      </c>
      <c r="L17" s="675">
        <f t="shared" si="2"/>
        <v>1224767.51</v>
      </c>
      <c r="M17" s="675">
        <f t="shared" si="2"/>
        <v>3451347.06</v>
      </c>
      <c r="N17" s="675">
        <f t="shared" si="2"/>
        <v>2525914.37</v>
      </c>
      <c r="O17" s="675">
        <f t="shared" si="2"/>
        <v>33943381.961999997</v>
      </c>
    </row>
    <row r="18" spans="1:15" x14ac:dyDescent="0.2">
      <c r="A18" s="671"/>
      <c r="B18" s="411"/>
      <c r="C18" s="411"/>
      <c r="D18" s="411"/>
      <c r="E18" s="411"/>
      <c r="F18" s="411"/>
      <c r="G18" s="411"/>
      <c r="H18" s="411"/>
      <c r="I18" s="411"/>
      <c r="J18" s="411"/>
      <c r="K18" s="411"/>
      <c r="L18" s="411"/>
      <c r="M18" s="411"/>
      <c r="N18" s="411"/>
      <c r="O18" s="411"/>
    </row>
    <row r="19" spans="1:15" ht="25.5" x14ac:dyDescent="0.2">
      <c r="A19" s="677" t="s">
        <v>520</v>
      </c>
      <c r="B19" s="678">
        <f>B16*2</f>
        <v>1485265.12</v>
      </c>
      <c r="C19" s="678">
        <f>C16*2</f>
        <v>214947.73500000002</v>
      </c>
      <c r="D19" s="678">
        <f>D16*2</f>
        <v>458463.82833333331</v>
      </c>
      <c r="E19" s="678">
        <f t="shared" ref="E19:N19" si="3">E16*2</f>
        <v>464595.03333333338</v>
      </c>
      <c r="F19" s="678">
        <f t="shared" si="3"/>
        <v>140550.01033333334</v>
      </c>
      <c r="G19" s="678">
        <f t="shared" si="3"/>
        <v>359060.85833333334</v>
      </c>
      <c r="H19" s="678">
        <f t="shared" si="3"/>
        <v>829880.1549999998</v>
      </c>
      <c r="I19" s="678">
        <f t="shared" si="3"/>
        <v>339468.41666666669</v>
      </c>
      <c r="J19" s="678">
        <f t="shared" si="3"/>
        <v>97218.043333333349</v>
      </c>
      <c r="K19" s="678">
        <f t="shared" si="3"/>
        <v>67442.97</v>
      </c>
      <c r="L19" s="678">
        <f t="shared" si="3"/>
        <v>204127.91833333333</v>
      </c>
      <c r="M19" s="678">
        <f t="shared" si="3"/>
        <v>575224.51</v>
      </c>
      <c r="N19" s="678">
        <f t="shared" si="3"/>
        <v>420985.72833333333</v>
      </c>
      <c r="O19" s="678">
        <f>SUM(B19:N19)</f>
        <v>5657230.3269999987</v>
      </c>
    </row>
    <row r="20" spans="1:15" x14ac:dyDescent="0.2">
      <c r="A20" s="671"/>
      <c r="B20" s="105"/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</row>
    <row r="21" spans="1:15" x14ac:dyDescent="0.2">
      <c r="A21" s="679" t="s">
        <v>521</v>
      </c>
      <c r="B21" s="105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</row>
    <row r="22" spans="1:15" x14ac:dyDescent="0.2">
      <c r="A22" s="671"/>
      <c r="B22" s="105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</row>
    <row r="23" spans="1:15" x14ac:dyDescent="0.2">
      <c r="A23" s="680" t="s">
        <v>522</v>
      </c>
      <c r="B23" s="681"/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</row>
    <row r="24" spans="1:15" x14ac:dyDescent="0.2">
      <c r="A24" s="671"/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</row>
    <row r="25" spans="1:15" x14ac:dyDescent="0.2">
      <c r="A25" s="408" t="s">
        <v>523</v>
      </c>
      <c r="B25" s="105"/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</row>
    <row r="26" spans="1:15" x14ac:dyDescent="0.2">
      <c r="A26" s="408" t="s">
        <v>524</v>
      </c>
      <c r="B26" s="105"/>
      <c r="C26" s="105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</row>
    <row r="27" spans="1:15" x14ac:dyDescent="0.2">
      <c r="A27" s="408" t="s">
        <v>525</v>
      </c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</row>
    <row r="28" spans="1:15" x14ac:dyDescent="0.2">
      <c r="A28" s="408" t="s">
        <v>526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</row>
    <row r="29" spans="1:15" x14ac:dyDescent="0.2">
      <c r="A29" s="408" t="s">
        <v>527</v>
      </c>
      <c r="B29" s="105"/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</row>
    <row r="30" spans="1:15" x14ac:dyDescent="0.2">
      <c r="A30" s="408" t="s">
        <v>528</v>
      </c>
      <c r="B30" s="10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</row>
    <row r="31" spans="1:15" x14ac:dyDescent="0.2">
      <c r="A31" s="671"/>
      <c r="B31" s="105"/>
      <c r="C31" s="105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</row>
    <row r="32" spans="1:15" x14ac:dyDescent="0.2">
      <c r="A32" s="671" t="s">
        <v>532</v>
      </c>
      <c r="B32" s="105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</row>
  </sheetData>
  <sheetProtection password="DB60" sheet="1" objects="1" scenarios="1"/>
  <pageMargins left="0.19685039370078741" right="0.19685039370078741" top="0.78740157480314965" bottom="0.78740157480314965" header="0.31496062992125984" footer="0.31496062992125984"/>
  <pageSetup scale="7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zoomScaleNormal="100" workbookViewId="0">
      <selection activeCell="C32" sqref="C32"/>
    </sheetView>
  </sheetViews>
  <sheetFormatPr defaultRowHeight="12.75" x14ac:dyDescent="0.2"/>
  <cols>
    <col min="1" max="1" width="28.140625" customWidth="1"/>
    <col min="2" max="2" width="23.140625" customWidth="1"/>
    <col min="3" max="3" width="20.28515625" customWidth="1"/>
  </cols>
  <sheetData>
    <row r="1" spans="1:3" x14ac:dyDescent="0.2">
      <c r="A1" s="667" t="s">
        <v>535</v>
      </c>
      <c r="B1" s="667"/>
      <c r="C1" s="667"/>
    </row>
    <row r="2" spans="1:3" x14ac:dyDescent="0.2">
      <c r="A2" s="105"/>
      <c r="B2" s="105"/>
      <c r="C2" s="105"/>
    </row>
    <row r="3" spans="1:3" ht="15" x14ac:dyDescent="0.25">
      <c r="A3" s="710" t="s">
        <v>539</v>
      </c>
      <c r="B3" s="105"/>
      <c r="C3" s="105"/>
    </row>
    <row r="4" spans="1:3" x14ac:dyDescent="0.2">
      <c r="A4" s="105"/>
      <c r="B4" s="105"/>
      <c r="C4" s="105"/>
    </row>
    <row r="5" spans="1:3" x14ac:dyDescent="0.2">
      <c r="A5" s="410" t="s">
        <v>536</v>
      </c>
      <c r="B5" s="105"/>
      <c r="C5" s="105"/>
    </row>
    <row r="6" spans="1:3" x14ac:dyDescent="0.2">
      <c r="A6" s="105"/>
      <c r="B6" s="105"/>
      <c r="C6" s="105"/>
    </row>
    <row r="7" spans="1:3" x14ac:dyDescent="0.2">
      <c r="A7" s="410" t="s">
        <v>541</v>
      </c>
      <c r="B7" s="105"/>
      <c r="C7" s="105"/>
    </row>
    <row r="8" spans="1:3" x14ac:dyDescent="0.2">
      <c r="A8" s="410"/>
      <c r="B8" s="105"/>
      <c r="C8" s="105"/>
    </row>
    <row r="9" spans="1:3" x14ac:dyDescent="0.2">
      <c r="A9" s="711" t="s">
        <v>543</v>
      </c>
      <c r="B9" s="712" t="s">
        <v>544</v>
      </c>
      <c r="C9" s="713" t="s">
        <v>102</v>
      </c>
    </row>
    <row r="10" spans="1:3" x14ac:dyDescent="0.2">
      <c r="A10" s="694">
        <v>0</v>
      </c>
      <c r="B10" s="695">
        <v>1</v>
      </c>
      <c r="C10" s="696">
        <v>0.15454545454545454</v>
      </c>
    </row>
    <row r="11" spans="1:3" x14ac:dyDescent="0.2">
      <c r="A11" s="697">
        <v>1.0001</v>
      </c>
      <c r="B11" s="698">
        <v>2</v>
      </c>
      <c r="C11" s="699">
        <v>0.29363636363636358</v>
      </c>
    </row>
    <row r="12" spans="1:3" x14ac:dyDescent="0.2">
      <c r="A12" s="697">
        <v>2.0001000000000002</v>
      </c>
      <c r="B12" s="698">
        <v>3</v>
      </c>
      <c r="C12" s="699">
        <v>0.41727272727272724</v>
      </c>
    </row>
    <row r="13" spans="1:3" x14ac:dyDescent="0.2">
      <c r="A13" s="697">
        <v>3.0001000000000002</v>
      </c>
      <c r="B13" s="698">
        <v>4</v>
      </c>
      <c r="C13" s="699">
        <v>0.5254545454545454</v>
      </c>
    </row>
    <row r="14" spans="1:3" x14ac:dyDescent="0.2">
      <c r="A14" s="697">
        <v>4.0000999999999998</v>
      </c>
      <c r="B14" s="698">
        <v>5</v>
      </c>
      <c r="C14" s="699">
        <v>0.61818181818181817</v>
      </c>
    </row>
    <row r="15" spans="1:3" x14ac:dyDescent="0.2">
      <c r="A15" s="697">
        <v>5.0000999999999998</v>
      </c>
      <c r="B15" s="698">
        <v>6</v>
      </c>
      <c r="C15" s="699">
        <v>0.69545454545454544</v>
      </c>
    </row>
    <row r="16" spans="1:3" x14ac:dyDescent="0.2">
      <c r="A16" s="697">
        <v>6.0000999999999998</v>
      </c>
      <c r="B16" s="698">
        <v>7</v>
      </c>
      <c r="C16" s="699">
        <v>0.75727272727272721</v>
      </c>
    </row>
    <row r="17" spans="1:3" x14ac:dyDescent="0.2">
      <c r="A17" s="697">
        <v>7.0000999999999998</v>
      </c>
      <c r="B17" s="698">
        <v>8</v>
      </c>
      <c r="C17" s="699">
        <v>0.80363636363636359</v>
      </c>
    </row>
    <row r="18" spans="1:3" x14ac:dyDescent="0.2">
      <c r="A18" s="697">
        <v>8.0000999999999998</v>
      </c>
      <c r="B18" s="698">
        <v>9</v>
      </c>
      <c r="C18" s="699">
        <v>0.83454545454545448</v>
      </c>
    </row>
    <row r="19" spans="1:3" x14ac:dyDescent="0.2">
      <c r="A19" s="697">
        <v>9.0000999999999998</v>
      </c>
      <c r="B19" s="698">
        <v>10</v>
      </c>
      <c r="C19" s="699">
        <v>0.85</v>
      </c>
    </row>
    <row r="20" spans="1:3" x14ac:dyDescent="0.2">
      <c r="A20" s="700">
        <v>10.0001</v>
      </c>
      <c r="B20" s="701"/>
      <c r="C20" s="702"/>
    </row>
    <row r="21" spans="1:3" x14ac:dyDescent="0.2">
      <c r="A21" s="105"/>
      <c r="B21" s="105"/>
      <c r="C21" s="105"/>
    </row>
    <row r="22" spans="1:3" x14ac:dyDescent="0.2">
      <c r="A22" s="807" t="s">
        <v>537</v>
      </c>
      <c r="B22" s="807"/>
      <c r="C22" s="686">
        <f>'04 Frota'!H57</f>
        <v>531991.64135421021</v>
      </c>
    </row>
    <row r="23" spans="1:3" x14ac:dyDescent="0.2">
      <c r="A23" s="105"/>
      <c r="C23" s="105"/>
    </row>
    <row r="24" spans="1:3" x14ac:dyDescent="0.2">
      <c r="A24" s="808" t="s">
        <v>545</v>
      </c>
      <c r="B24" s="808"/>
      <c r="C24" s="703">
        <f>'04 Frota'!C74</f>
        <v>4.6732954545454541</v>
      </c>
    </row>
    <row r="25" spans="1:3" x14ac:dyDescent="0.2">
      <c r="A25" s="105"/>
      <c r="B25" s="105"/>
      <c r="C25" s="105"/>
    </row>
    <row r="26" spans="1:3" ht="25.5" customHeight="1" x14ac:dyDescent="0.2">
      <c r="A26" s="808" t="s">
        <v>538</v>
      </c>
      <c r="B26" s="808"/>
      <c r="C26" s="704">
        <f>VLOOKUP(C24,$A$10:$C$20,3)</f>
        <v>0.61818181818181817</v>
      </c>
    </row>
    <row r="27" spans="1:3" x14ac:dyDescent="0.2">
      <c r="A27" s="105"/>
      <c r="B27" s="105"/>
      <c r="C27" s="105"/>
    </row>
    <row r="28" spans="1:3" x14ac:dyDescent="0.2">
      <c r="A28" s="410" t="s">
        <v>546</v>
      </c>
      <c r="B28" s="105"/>
      <c r="C28" s="686">
        <f>C22*C26</f>
        <v>328867.5601098754</v>
      </c>
    </row>
    <row r="29" spans="1:3" x14ac:dyDescent="0.2">
      <c r="A29" s="105"/>
      <c r="B29" s="105"/>
      <c r="C29" s="105"/>
    </row>
    <row r="30" spans="1:3" x14ac:dyDescent="0.2">
      <c r="A30" s="410" t="s">
        <v>547</v>
      </c>
      <c r="B30" s="105"/>
      <c r="C30" s="705">
        <f>'04 Frota'!C73</f>
        <v>352</v>
      </c>
    </row>
    <row r="31" spans="1:3" x14ac:dyDescent="0.2">
      <c r="A31" s="105"/>
      <c r="B31" s="105"/>
      <c r="C31" s="105"/>
    </row>
    <row r="32" spans="1:3" x14ac:dyDescent="0.2">
      <c r="A32" s="707" t="s">
        <v>542</v>
      </c>
      <c r="B32" s="708"/>
      <c r="C32" s="709">
        <f>C30*(C22-C28)</f>
        <v>71499676.598005861</v>
      </c>
    </row>
    <row r="33" spans="1:3" x14ac:dyDescent="0.2">
      <c r="A33" s="105"/>
      <c r="B33" s="105"/>
      <c r="C33" s="686"/>
    </row>
    <row r="34" spans="1:3" ht="15" x14ac:dyDescent="0.25">
      <c r="A34" s="710" t="s">
        <v>540</v>
      </c>
      <c r="B34" s="105"/>
      <c r="C34" s="686"/>
    </row>
    <row r="35" spans="1:3" x14ac:dyDescent="0.2">
      <c r="A35" s="105"/>
      <c r="B35" s="105"/>
      <c r="C35" s="686"/>
    </row>
    <row r="36" spans="1:3" ht="41.25" customHeight="1" x14ac:dyDescent="0.2">
      <c r="A36" s="808" t="s">
        <v>548</v>
      </c>
      <c r="B36" s="808"/>
      <c r="C36" s="706">
        <f>'Aux.02.03 Ativo Imobilizado'!D22</f>
        <v>212625944.13</v>
      </c>
    </row>
    <row r="37" spans="1:3" x14ac:dyDescent="0.2">
      <c r="A37" s="105"/>
      <c r="B37" s="105"/>
      <c r="C37" s="686"/>
    </row>
    <row r="38" spans="1:3" x14ac:dyDescent="0.2">
      <c r="A38" s="410" t="s">
        <v>549</v>
      </c>
      <c r="B38" s="105"/>
      <c r="C38" s="705">
        <v>1704</v>
      </c>
    </row>
    <row r="39" spans="1:3" x14ac:dyDescent="0.2">
      <c r="A39" s="105"/>
      <c r="B39" s="105"/>
      <c r="C39" s="686"/>
    </row>
    <row r="40" spans="1:3" ht="24.75" customHeight="1" x14ac:dyDescent="0.2">
      <c r="A40" s="808" t="s">
        <v>550</v>
      </c>
      <c r="B40" s="808"/>
      <c r="C40" s="706">
        <f>C36/C38</f>
        <v>124780.48364436619</v>
      </c>
    </row>
    <row r="41" spans="1:3" x14ac:dyDescent="0.2">
      <c r="A41" s="105"/>
      <c r="B41" s="105"/>
      <c r="C41" s="686"/>
    </row>
    <row r="42" spans="1:3" x14ac:dyDescent="0.2">
      <c r="A42" s="707" t="s">
        <v>551</v>
      </c>
      <c r="B42" s="708"/>
      <c r="C42" s="709">
        <f>C40*C30</f>
        <v>43922730.242816903</v>
      </c>
    </row>
    <row r="44" spans="1:3" x14ac:dyDescent="0.2">
      <c r="A44" s="707" t="s">
        <v>552</v>
      </c>
      <c r="B44" s="708"/>
      <c r="C44" s="709">
        <f>C32+C42</f>
        <v>115422406.84082276</v>
      </c>
    </row>
  </sheetData>
  <sheetProtection password="DB60" sheet="1" objects="1" scenarios="1"/>
  <mergeCells count="5">
    <mergeCell ref="A22:B22"/>
    <mergeCell ref="A24:B24"/>
    <mergeCell ref="A26:B26"/>
    <mergeCell ref="A40:B40"/>
    <mergeCell ref="A36:B36"/>
  </mergeCells>
  <pageMargins left="0.45" right="0.51181102362204722" top="0.59055118110236227" bottom="0.78740157480314965" header="0.31496062992125984" footer="0.31496062992125984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zoomScale="80" zoomScaleNormal="80" workbookViewId="0">
      <selection activeCell="F8" sqref="F8"/>
    </sheetView>
  </sheetViews>
  <sheetFormatPr defaultRowHeight="12.75" x14ac:dyDescent="0.2"/>
  <cols>
    <col min="1" max="1" width="14.5703125" customWidth="1"/>
    <col min="2" max="2" width="10.42578125" customWidth="1"/>
    <col min="3" max="3" width="21" customWidth="1"/>
    <col min="4" max="18" width="7.28515625" customWidth="1"/>
  </cols>
  <sheetData>
    <row r="1" spans="1:18" x14ac:dyDescent="0.2">
      <c r="A1" s="358" t="s">
        <v>415</v>
      </c>
      <c r="B1" s="359"/>
      <c r="C1" s="359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  <c r="R1" s="360"/>
    </row>
    <row r="2" spans="1:18" x14ac:dyDescent="0.2">
      <c r="A2" s="361"/>
      <c r="B2" s="361"/>
      <c r="C2" s="361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</row>
    <row r="3" spans="1:18" x14ac:dyDescent="0.2">
      <c r="A3" s="363" t="s">
        <v>404</v>
      </c>
      <c r="B3" s="363" t="s">
        <v>405</v>
      </c>
      <c r="C3" s="363" t="s">
        <v>422</v>
      </c>
      <c r="D3" s="364">
        <v>2002</v>
      </c>
      <c r="E3" s="365">
        <v>2003</v>
      </c>
      <c r="F3" s="365">
        <v>2004</v>
      </c>
      <c r="G3" s="365">
        <v>2005</v>
      </c>
      <c r="H3" s="366">
        <v>2006</v>
      </c>
      <c r="I3" s="366">
        <v>2007</v>
      </c>
      <c r="J3" s="366">
        <v>2008</v>
      </c>
      <c r="K3" s="366">
        <v>2009</v>
      </c>
      <c r="L3" s="366">
        <v>2010</v>
      </c>
      <c r="M3" s="366">
        <v>2011</v>
      </c>
      <c r="N3" s="366">
        <v>2012</v>
      </c>
      <c r="O3" s="366">
        <v>2013</v>
      </c>
      <c r="P3" s="366">
        <v>2014</v>
      </c>
      <c r="Q3" s="366">
        <v>2015</v>
      </c>
      <c r="R3" s="367" t="s">
        <v>3</v>
      </c>
    </row>
    <row r="4" spans="1:18" x14ac:dyDescent="0.2">
      <c r="A4" s="368" t="s">
        <v>407</v>
      </c>
      <c r="B4" s="368" t="s">
        <v>353</v>
      </c>
      <c r="C4" s="369" t="s">
        <v>408</v>
      </c>
      <c r="D4" s="370"/>
      <c r="E4" s="371"/>
      <c r="F4" s="371"/>
      <c r="G4" s="371"/>
      <c r="H4" s="372"/>
      <c r="I4" s="373"/>
      <c r="J4" s="373">
        <v>15</v>
      </c>
      <c r="K4" s="373"/>
      <c r="L4" s="373"/>
      <c r="M4" s="373"/>
      <c r="N4" s="373"/>
      <c r="O4" s="373"/>
      <c r="P4" s="373"/>
      <c r="Q4" s="373"/>
      <c r="R4" s="374">
        <f t="shared" ref="R4:R9" si="0">SUM(D4:Q4)</f>
        <v>15</v>
      </c>
    </row>
    <row r="5" spans="1:18" x14ac:dyDescent="0.2">
      <c r="A5" s="375"/>
      <c r="B5" s="375"/>
      <c r="C5" s="376" t="s">
        <v>369</v>
      </c>
      <c r="D5" s="377"/>
      <c r="E5" s="378"/>
      <c r="F5" s="378"/>
      <c r="G5" s="378"/>
      <c r="H5" s="379"/>
      <c r="I5" s="380"/>
      <c r="J5" s="380"/>
      <c r="K5" s="380"/>
      <c r="L5" s="380">
        <v>15</v>
      </c>
      <c r="M5" s="380"/>
      <c r="N5" s="380"/>
      <c r="O5" s="380"/>
      <c r="P5" s="380"/>
      <c r="Q5" s="380"/>
      <c r="R5" s="381">
        <f t="shared" si="0"/>
        <v>15</v>
      </c>
    </row>
    <row r="6" spans="1:18" x14ac:dyDescent="0.2">
      <c r="A6" s="375"/>
      <c r="B6" s="375"/>
      <c r="C6" s="376" t="s">
        <v>362</v>
      </c>
      <c r="D6" s="377"/>
      <c r="E6" s="378"/>
      <c r="F6" s="378"/>
      <c r="G6" s="378"/>
      <c r="H6" s="379">
        <v>53</v>
      </c>
      <c r="I6" s="380"/>
      <c r="J6" s="380"/>
      <c r="K6" s="380"/>
      <c r="L6" s="380"/>
      <c r="M6" s="380"/>
      <c r="N6" s="380"/>
      <c r="O6" s="380"/>
      <c r="P6" s="380"/>
      <c r="Q6" s="380"/>
      <c r="R6" s="381">
        <f t="shared" si="0"/>
        <v>53</v>
      </c>
    </row>
    <row r="7" spans="1:18" x14ac:dyDescent="0.2">
      <c r="A7" s="375"/>
      <c r="B7" s="375"/>
      <c r="C7" s="376" t="s">
        <v>409</v>
      </c>
      <c r="D7" s="377"/>
      <c r="E7" s="378"/>
      <c r="F7" s="378"/>
      <c r="G7" s="378"/>
      <c r="H7" s="379">
        <v>8</v>
      </c>
      <c r="I7" s="380"/>
      <c r="J7" s="380"/>
      <c r="K7" s="380"/>
      <c r="L7" s="380"/>
      <c r="M7" s="380"/>
      <c r="N7" s="380"/>
      <c r="O7" s="380"/>
      <c r="P7" s="380"/>
      <c r="Q7" s="380"/>
      <c r="R7" s="381">
        <f t="shared" si="0"/>
        <v>8</v>
      </c>
    </row>
    <row r="8" spans="1:18" x14ac:dyDescent="0.2">
      <c r="A8" s="375"/>
      <c r="B8" s="375"/>
      <c r="C8" s="376" t="s">
        <v>365</v>
      </c>
      <c r="D8" s="377"/>
      <c r="E8" s="378"/>
      <c r="F8" s="378"/>
      <c r="G8" s="378"/>
      <c r="H8" s="379"/>
      <c r="I8" s="380">
        <v>26</v>
      </c>
      <c r="J8" s="380">
        <v>4</v>
      </c>
      <c r="K8" s="380"/>
      <c r="L8" s="380"/>
      <c r="M8" s="380"/>
      <c r="N8" s="380"/>
      <c r="O8" s="380"/>
      <c r="P8" s="380"/>
      <c r="Q8" s="380"/>
      <c r="R8" s="381">
        <f t="shared" si="0"/>
        <v>30</v>
      </c>
    </row>
    <row r="9" spans="1:18" x14ac:dyDescent="0.2">
      <c r="A9" s="375"/>
      <c r="B9" s="375"/>
      <c r="C9" s="376" t="s">
        <v>366</v>
      </c>
      <c r="D9" s="377"/>
      <c r="E9" s="378"/>
      <c r="F9" s="378"/>
      <c r="G9" s="378"/>
      <c r="H9" s="379"/>
      <c r="I9" s="380"/>
      <c r="J9" s="380">
        <v>49</v>
      </c>
      <c r="K9" s="380"/>
      <c r="L9" s="380"/>
      <c r="M9" s="380"/>
      <c r="N9" s="380"/>
      <c r="O9" s="380"/>
      <c r="P9" s="380"/>
      <c r="Q9" s="380"/>
      <c r="R9" s="382">
        <f t="shared" si="0"/>
        <v>49</v>
      </c>
    </row>
    <row r="10" spans="1:18" x14ac:dyDescent="0.2">
      <c r="A10" s="375"/>
      <c r="B10" s="363" t="s">
        <v>410</v>
      </c>
      <c r="C10" s="383"/>
      <c r="D10" s="384">
        <f t="shared" ref="D10:Q10" si="1">SUM(D4:D9)</f>
        <v>0</v>
      </c>
      <c r="E10" s="385">
        <f t="shared" si="1"/>
        <v>0</v>
      </c>
      <c r="F10" s="385">
        <f t="shared" si="1"/>
        <v>0</v>
      </c>
      <c r="G10" s="385">
        <f t="shared" si="1"/>
        <v>0</v>
      </c>
      <c r="H10" s="386">
        <f t="shared" si="1"/>
        <v>61</v>
      </c>
      <c r="I10" s="387">
        <f t="shared" si="1"/>
        <v>26</v>
      </c>
      <c r="J10" s="387">
        <f t="shared" si="1"/>
        <v>68</v>
      </c>
      <c r="K10" s="387">
        <f t="shared" si="1"/>
        <v>0</v>
      </c>
      <c r="L10" s="387">
        <f t="shared" si="1"/>
        <v>15</v>
      </c>
      <c r="M10" s="387">
        <f t="shared" si="1"/>
        <v>0</v>
      </c>
      <c r="N10" s="387">
        <f t="shared" si="1"/>
        <v>0</v>
      </c>
      <c r="O10" s="387">
        <f t="shared" si="1"/>
        <v>0</v>
      </c>
      <c r="P10" s="387">
        <f t="shared" si="1"/>
        <v>0</v>
      </c>
      <c r="Q10" s="387">
        <f t="shared" si="1"/>
        <v>0</v>
      </c>
      <c r="R10" s="388">
        <f>SUM(R4:R9)</f>
        <v>170</v>
      </c>
    </row>
    <row r="11" spans="1:18" x14ac:dyDescent="0.2">
      <c r="A11" s="375"/>
      <c r="B11" s="368" t="s">
        <v>354</v>
      </c>
      <c r="C11" s="369" t="s">
        <v>408</v>
      </c>
      <c r="D11" s="370"/>
      <c r="E11" s="371"/>
      <c r="F11" s="371"/>
      <c r="G11" s="371"/>
      <c r="H11" s="372"/>
      <c r="I11" s="373"/>
      <c r="J11" s="373"/>
      <c r="K11" s="373"/>
      <c r="L11" s="373"/>
      <c r="M11" s="373"/>
      <c r="N11" s="373">
        <v>11</v>
      </c>
      <c r="O11" s="373">
        <v>2</v>
      </c>
      <c r="P11" s="373"/>
      <c r="Q11" s="373">
        <v>15</v>
      </c>
      <c r="R11" s="389">
        <f>SUM(D11:Q11)</f>
        <v>28</v>
      </c>
    </row>
    <row r="12" spans="1:18" x14ac:dyDescent="0.2">
      <c r="A12" s="375"/>
      <c r="B12" s="375"/>
      <c r="C12" s="376" t="s">
        <v>356</v>
      </c>
      <c r="D12" s="377"/>
      <c r="E12" s="378"/>
      <c r="F12" s="378"/>
      <c r="G12" s="378"/>
      <c r="H12" s="379"/>
      <c r="I12" s="380"/>
      <c r="J12" s="380"/>
      <c r="K12" s="380">
        <v>31</v>
      </c>
      <c r="L12" s="380">
        <v>40</v>
      </c>
      <c r="M12" s="380"/>
      <c r="N12" s="380"/>
      <c r="O12" s="380"/>
      <c r="P12" s="380"/>
      <c r="Q12" s="380"/>
      <c r="R12" s="390">
        <f>SUM(D12:Q12)</f>
        <v>71</v>
      </c>
    </row>
    <row r="13" spans="1:18" x14ac:dyDescent="0.2">
      <c r="A13" s="375"/>
      <c r="B13" s="375"/>
      <c r="C13" s="376" t="s">
        <v>352</v>
      </c>
      <c r="D13" s="377"/>
      <c r="E13" s="378"/>
      <c r="F13" s="378"/>
      <c r="G13" s="378"/>
      <c r="H13" s="379"/>
      <c r="I13" s="380"/>
      <c r="J13" s="380">
        <v>12</v>
      </c>
      <c r="K13" s="380"/>
      <c r="L13" s="380"/>
      <c r="M13" s="380"/>
      <c r="N13" s="380"/>
      <c r="O13" s="380"/>
      <c r="P13" s="380"/>
      <c r="Q13" s="380"/>
      <c r="R13" s="390">
        <f t="shared" ref="R13:R19" si="2">SUM(D13:Q13)</f>
        <v>12</v>
      </c>
    </row>
    <row r="14" spans="1:18" x14ac:dyDescent="0.2">
      <c r="A14" s="375"/>
      <c r="B14" s="375"/>
      <c r="C14" s="376" t="s">
        <v>358</v>
      </c>
      <c r="D14" s="377"/>
      <c r="E14" s="378"/>
      <c r="F14" s="378"/>
      <c r="G14" s="378"/>
      <c r="H14" s="379"/>
      <c r="I14" s="380"/>
      <c r="J14" s="380"/>
      <c r="K14" s="380"/>
      <c r="L14" s="380">
        <v>37</v>
      </c>
      <c r="M14" s="380"/>
      <c r="N14" s="380"/>
      <c r="O14" s="380"/>
      <c r="P14" s="380"/>
      <c r="Q14" s="380"/>
      <c r="R14" s="390">
        <f t="shared" si="2"/>
        <v>37</v>
      </c>
    </row>
    <row r="15" spans="1:18" x14ac:dyDescent="0.2">
      <c r="A15" s="375"/>
      <c r="B15" s="375"/>
      <c r="C15" s="376" t="s">
        <v>360</v>
      </c>
      <c r="D15" s="377"/>
      <c r="E15" s="378"/>
      <c r="F15" s="378"/>
      <c r="G15" s="378"/>
      <c r="H15" s="379"/>
      <c r="I15" s="380"/>
      <c r="J15" s="380"/>
      <c r="K15" s="380"/>
      <c r="L15" s="380"/>
      <c r="M15" s="380"/>
      <c r="N15" s="380">
        <v>17</v>
      </c>
      <c r="O15" s="380"/>
      <c r="P15" s="380"/>
      <c r="Q15" s="380"/>
      <c r="R15" s="390">
        <f t="shared" si="2"/>
        <v>17</v>
      </c>
    </row>
    <row r="16" spans="1:18" x14ac:dyDescent="0.2">
      <c r="A16" s="375"/>
      <c r="B16" s="375"/>
      <c r="C16" s="376" t="s">
        <v>362</v>
      </c>
      <c r="D16" s="377"/>
      <c r="E16" s="378"/>
      <c r="F16" s="378"/>
      <c r="G16" s="378"/>
      <c r="H16" s="379">
        <v>1</v>
      </c>
      <c r="I16" s="380"/>
      <c r="J16" s="380"/>
      <c r="K16" s="380"/>
      <c r="L16" s="380"/>
      <c r="M16" s="380"/>
      <c r="N16" s="380"/>
      <c r="O16" s="380"/>
      <c r="P16" s="380"/>
      <c r="Q16" s="380"/>
      <c r="R16" s="390">
        <f t="shared" si="2"/>
        <v>1</v>
      </c>
    </row>
    <row r="17" spans="1:18" x14ac:dyDescent="0.2">
      <c r="A17" s="375"/>
      <c r="B17" s="375"/>
      <c r="C17" s="376" t="s">
        <v>366</v>
      </c>
      <c r="D17" s="377"/>
      <c r="E17" s="378"/>
      <c r="F17" s="378">
        <v>12</v>
      </c>
      <c r="G17" s="378"/>
      <c r="H17" s="379"/>
      <c r="I17" s="380"/>
      <c r="J17" s="380"/>
      <c r="K17" s="380"/>
      <c r="L17" s="380"/>
      <c r="M17" s="380"/>
      <c r="N17" s="380"/>
      <c r="O17" s="380"/>
      <c r="P17" s="380"/>
      <c r="Q17" s="380"/>
      <c r="R17" s="390">
        <f t="shared" si="2"/>
        <v>12</v>
      </c>
    </row>
    <row r="18" spans="1:18" x14ac:dyDescent="0.2">
      <c r="A18" s="375"/>
      <c r="B18" s="375"/>
      <c r="C18" s="376" t="s">
        <v>367</v>
      </c>
      <c r="D18" s="377"/>
      <c r="E18" s="378"/>
      <c r="F18" s="378"/>
      <c r="G18" s="378"/>
      <c r="H18" s="379"/>
      <c r="I18" s="380"/>
      <c r="J18" s="380"/>
      <c r="K18" s="380"/>
      <c r="L18" s="380"/>
      <c r="M18" s="380"/>
      <c r="N18" s="380"/>
      <c r="O18" s="380"/>
      <c r="P18" s="380"/>
      <c r="Q18" s="380"/>
      <c r="R18" s="390">
        <f t="shared" si="2"/>
        <v>0</v>
      </c>
    </row>
    <row r="19" spans="1:18" x14ac:dyDescent="0.2">
      <c r="A19" s="375"/>
      <c r="B19" s="375"/>
      <c r="C19" s="376" t="s">
        <v>355</v>
      </c>
      <c r="D19" s="377"/>
      <c r="E19" s="378"/>
      <c r="F19" s="378"/>
      <c r="G19" s="378"/>
      <c r="H19" s="379"/>
      <c r="I19" s="380"/>
      <c r="J19" s="380"/>
      <c r="K19" s="380"/>
      <c r="L19" s="380"/>
      <c r="M19" s="380"/>
      <c r="N19" s="380"/>
      <c r="O19" s="380"/>
      <c r="P19" s="380"/>
      <c r="Q19" s="380">
        <v>35</v>
      </c>
      <c r="R19" s="390">
        <f t="shared" si="2"/>
        <v>35</v>
      </c>
    </row>
    <row r="20" spans="1:18" x14ac:dyDescent="0.2">
      <c r="A20" s="375"/>
      <c r="B20" s="363" t="s">
        <v>411</v>
      </c>
      <c r="C20" s="383"/>
      <c r="D20" s="384">
        <f t="shared" ref="D20:R20" si="3">SUM(D11:D19)</f>
        <v>0</v>
      </c>
      <c r="E20" s="385">
        <f t="shared" si="3"/>
        <v>0</v>
      </c>
      <c r="F20" s="385">
        <f t="shared" si="3"/>
        <v>12</v>
      </c>
      <c r="G20" s="385">
        <f t="shared" si="3"/>
        <v>0</v>
      </c>
      <c r="H20" s="386">
        <f t="shared" si="3"/>
        <v>1</v>
      </c>
      <c r="I20" s="387">
        <f t="shared" si="3"/>
        <v>0</v>
      </c>
      <c r="J20" s="387">
        <f t="shared" si="3"/>
        <v>12</v>
      </c>
      <c r="K20" s="387">
        <f t="shared" si="3"/>
        <v>31</v>
      </c>
      <c r="L20" s="387">
        <f t="shared" si="3"/>
        <v>77</v>
      </c>
      <c r="M20" s="387">
        <f t="shared" si="3"/>
        <v>0</v>
      </c>
      <c r="N20" s="387">
        <f t="shared" si="3"/>
        <v>28</v>
      </c>
      <c r="O20" s="387">
        <f t="shared" si="3"/>
        <v>2</v>
      </c>
      <c r="P20" s="387">
        <f t="shared" si="3"/>
        <v>0</v>
      </c>
      <c r="Q20" s="387">
        <f t="shared" si="3"/>
        <v>50</v>
      </c>
      <c r="R20" s="391">
        <f t="shared" si="3"/>
        <v>213</v>
      </c>
    </row>
    <row r="21" spans="1:18" x14ac:dyDescent="0.2">
      <c r="A21" s="363" t="s">
        <v>412</v>
      </c>
      <c r="B21" s="383"/>
      <c r="C21" s="383"/>
      <c r="D21" s="384">
        <f t="shared" ref="D21:R21" si="4">D10+D20</f>
        <v>0</v>
      </c>
      <c r="E21" s="385">
        <f t="shared" si="4"/>
        <v>0</v>
      </c>
      <c r="F21" s="385">
        <f t="shared" si="4"/>
        <v>12</v>
      </c>
      <c r="G21" s="385">
        <f t="shared" si="4"/>
        <v>0</v>
      </c>
      <c r="H21" s="386">
        <f t="shared" si="4"/>
        <v>62</v>
      </c>
      <c r="I21" s="387">
        <f t="shared" si="4"/>
        <v>26</v>
      </c>
      <c r="J21" s="387">
        <f t="shared" si="4"/>
        <v>80</v>
      </c>
      <c r="K21" s="387">
        <f t="shared" si="4"/>
        <v>31</v>
      </c>
      <c r="L21" s="387">
        <f t="shared" si="4"/>
        <v>92</v>
      </c>
      <c r="M21" s="387">
        <f t="shared" si="4"/>
        <v>0</v>
      </c>
      <c r="N21" s="387">
        <f t="shared" si="4"/>
        <v>28</v>
      </c>
      <c r="O21" s="387">
        <f t="shared" si="4"/>
        <v>2</v>
      </c>
      <c r="P21" s="387">
        <f t="shared" si="4"/>
        <v>0</v>
      </c>
      <c r="Q21" s="387">
        <f t="shared" si="4"/>
        <v>50</v>
      </c>
      <c r="R21" s="391">
        <f t="shared" si="4"/>
        <v>383</v>
      </c>
    </row>
    <row r="22" spans="1:18" x14ac:dyDescent="0.2">
      <c r="A22" s="369" t="s">
        <v>416</v>
      </c>
      <c r="B22" s="368" t="s">
        <v>353</v>
      </c>
      <c r="C22" s="368" t="s">
        <v>369</v>
      </c>
      <c r="D22" s="370"/>
      <c r="E22" s="371"/>
      <c r="F22" s="371"/>
      <c r="G22" s="371"/>
      <c r="H22" s="372"/>
      <c r="I22" s="373"/>
      <c r="J22" s="373"/>
      <c r="K22" s="373"/>
      <c r="L22" s="373"/>
      <c r="M22" s="373"/>
      <c r="N22" s="373">
        <v>3</v>
      </c>
      <c r="O22" s="373">
        <v>3</v>
      </c>
      <c r="P22" s="373"/>
      <c r="Q22" s="373"/>
      <c r="R22" s="389">
        <f>SUM(D22:Q22)</f>
        <v>6</v>
      </c>
    </row>
    <row r="23" spans="1:18" x14ac:dyDescent="0.2">
      <c r="A23" s="375"/>
      <c r="B23" s="375"/>
      <c r="C23" s="376" t="s">
        <v>359</v>
      </c>
      <c r="D23" s="377"/>
      <c r="E23" s="378"/>
      <c r="F23" s="378">
        <v>3</v>
      </c>
      <c r="G23" s="378">
        <v>7</v>
      </c>
      <c r="H23" s="379"/>
      <c r="I23" s="380"/>
      <c r="J23" s="380">
        <v>9</v>
      </c>
      <c r="K23" s="380">
        <v>40</v>
      </c>
      <c r="L23" s="380">
        <v>20</v>
      </c>
      <c r="M23" s="380">
        <v>23</v>
      </c>
      <c r="N23" s="380">
        <v>9</v>
      </c>
      <c r="O23" s="380">
        <v>1</v>
      </c>
      <c r="P23" s="380"/>
      <c r="Q23" s="380"/>
      <c r="R23" s="390">
        <f>SUM(D23:Q23)</f>
        <v>112</v>
      </c>
    </row>
    <row r="24" spans="1:18" x14ac:dyDescent="0.2">
      <c r="A24" s="375"/>
      <c r="B24" s="375"/>
      <c r="C24" s="376" t="s">
        <v>362</v>
      </c>
      <c r="D24" s="377"/>
      <c r="E24" s="378"/>
      <c r="F24" s="378"/>
      <c r="G24" s="378">
        <v>25</v>
      </c>
      <c r="H24" s="379">
        <v>54</v>
      </c>
      <c r="I24" s="380">
        <v>51</v>
      </c>
      <c r="J24" s="380">
        <v>24</v>
      </c>
      <c r="K24" s="380">
        <v>14</v>
      </c>
      <c r="L24" s="380">
        <v>26</v>
      </c>
      <c r="M24" s="380">
        <v>40</v>
      </c>
      <c r="N24" s="380">
        <v>18</v>
      </c>
      <c r="O24" s="380">
        <v>7</v>
      </c>
      <c r="P24" s="380"/>
      <c r="Q24" s="380"/>
      <c r="R24" s="390">
        <f>SUM(D24:Q24)</f>
        <v>259</v>
      </c>
    </row>
    <row r="25" spans="1:18" x14ac:dyDescent="0.2">
      <c r="A25" s="375"/>
      <c r="B25" s="375"/>
      <c r="C25" s="376" t="s">
        <v>413</v>
      </c>
      <c r="D25" s="377"/>
      <c r="E25" s="378"/>
      <c r="F25" s="378"/>
      <c r="G25" s="378"/>
      <c r="H25" s="379"/>
      <c r="I25" s="380">
        <v>19</v>
      </c>
      <c r="J25" s="380"/>
      <c r="K25" s="380"/>
      <c r="L25" s="380"/>
      <c r="M25" s="380"/>
      <c r="N25" s="380"/>
      <c r="O25" s="380"/>
      <c r="P25" s="380"/>
      <c r="Q25" s="380"/>
      <c r="R25" s="390">
        <f>SUM(D25:Q25)</f>
        <v>19</v>
      </c>
    </row>
    <row r="26" spans="1:18" x14ac:dyDescent="0.2">
      <c r="A26" s="375"/>
      <c r="B26" s="375"/>
      <c r="C26" s="376" t="s">
        <v>364</v>
      </c>
      <c r="D26" s="377"/>
      <c r="E26" s="378"/>
      <c r="F26" s="378"/>
      <c r="G26" s="378"/>
      <c r="H26" s="379"/>
      <c r="I26" s="380"/>
      <c r="J26" s="380"/>
      <c r="K26" s="380">
        <v>1</v>
      </c>
      <c r="L26" s="380"/>
      <c r="M26" s="380"/>
      <c r="N26" s="380"/>
      <c r="O26" s="380"/>
      <c r="P26" s="380"/>
      <c r="Q26" s="380"/>
      <c r="R26" s="390">
        <f>SUM(D26:Q26)</f>
        <v>1</v>
      </c>
    </row>
    <row r="27" spans="1:18" x14ac:dyDescent="0.2">
      <c r="A27" s="375"/>
      <c r="B27" s="363" t="s">
        <v>410</v>
      </c>
      <c r="C27" s="383"/>
      <c r="D27" s="384">
        <f t="shared" ref="D27:P27" si="5">SUM(D22:D26)</f>
        <v>0</v>
      </c>
      <c r="E27" s="385">
        <f t="shared" si="5"/>
        <v>0</v>
      </c>
      <c r="F27" s="385">
        <f t="shared" si="5"/>
        <v>3</v>
      </c>
      <c r="G27" s="385">
        <f t="shared" si="5"/>
        <v>32</v>
      </c>
      <c r="H27" s="386">
        <f t="shared" si="5"/>
        <v>54</v>
      </c>
      <c r="I27" s="387">
        <f t="shared" si="5"/>
        <v>70</v>
      </c>
      <c r="J27" s="387">
        <f t="shared" si="5"/>
        <v>33</v>
      </c>
      <c r="K27" s="387">
        <f t="shared" si="5"/>
        <v>55</v>
      </c>
      <c r="L27" s="387">
        <f t="shared" si="5"/>
        <v>46</v>
      </c>
      <c r="M27" s="387">
        <f t="shared" si="5"/>
        <v>63</v>
      </c>
      <c r="N27" s="387">
        <f>SUM(N22:N26)</f>
        <v>30</v>
      </c>
      <c r="O27" s="387">
        <f t="shared" si="5"/>
        <v>11</v>
      </c>
      <c r="P27" s="387">
        <f t="shared" si="5"/>
        <v>0</v>
      </c>
      <c r="Q27" s="387">
        <f>SUM(Q22:Q26)</f>
        <v>0</v>
      </c>
      <c r="R27" s="391">
        <f>SUM(R22:R26)</f>
        <v>397</v>
      </c>
    </row>
    <row r="28" spans="1:18" x14ac:dyDescent="0.2">
      <c r="A28" s="375"/>
      <c r="B28" s="368" t="s">
        <v>354</v>
      </c>
      <c r="C28" s="368" t="s">
        <v>369</v>
      </c>
      <c r="D28" s="370"/>
      <c r="E28" s="371"/>
      <c r="F28" s="371"/>
      <c r="G28" s="371"/>
      <c r="H28" s="372"/>
      <c r="I28" s="373"/>
      <c r="J28" s="373"/>
      <c r="K28" s="373"/>
      <c r="L28" s="373"/>
      <c r="M28" s="373"/>
      <c r="N28" s="373">
        <v>1</v>
      </c>
      <c r="O28" s="373">
        <v>1</v>
      </c>
      <c r="P28" s="373"/>
      <c r="Q28" s="373"/>
      <c r="R28" s="389">
        <f>SUM(D28:Q28)</f>
        <v>2</v>
      </c>
    </row>
    <row r="29" spans="1:18" x14ac:dyDescent="0.2">
      <c r="A29" s="375"/>
      <c r="B29" s="375"/>
      <c r="C29" s="376" t="s">
        <v>359</v>
      </c>
      <c r="D29" s="377"/>
      <c r="E29" s="378"/>
      <c r="F29" s="378">
        <v>2</v>
      </c>
      <c r="G29" s="378"/>
      <c r="H29" s="379"/>
      <c r="I29" s="380">
        <v>1</v>
      </c>
      <c r="J29" s="380">
        <v>13</v>
      </c>
      <c r="K29" s="380"/>
      <c r="L29" s="380">
        <v>6</v>
      </c>
      <c r="M29" s="380">
        <v>7</v>
      </c>
      <c r="N29" s="380">
        <v>3</v>
      </c>
      <c r="O29" s="380">
        <v>11</v>
      </c>
      <c r="P29" s="380"/>
      <c r="Q29" s="380"/>
      <c r="R29" s="390">
        <f>SUM(D29:Q29)</f>
        <v>43</v>
      </c>
    </row>
    <row r="30" spans="1:18" x14ac:dyDescent="0.2">
      <c r="A30" s="375"/>
      <c r="B30" s="363" t="s">
        <v>411</v>
      </c>
      <c r="C30" s="383"/>
      <c r="D30" s="392">
        <f>SUM(D28:D29)</f>
        <v>0</v>
      </c>
      <c r="E30" s="393">
        <f>SUM(E28:E29)</f>
        <v>0</v>
      </c>
      <c r="F30" s="393">
        <f>SUM(F28:F29)</f>
        <v>2</v>
      </c>
      <c r="G30" s="393">
        <f>SUM(G28:G29)</f>
        <v>0</v>
      </c>
      <c r="H30" s="394">
        <f>SUM(H28:H29)</f>
        <v>0</v>
      </c>
      <c r="I30" s="395">
        <f t="shared" ref="I30:P30" si="6">SUM(I28:I29)</f>
        <v>1</v>
      </c>
      <c r="J30" s="395">
        <f t="shared" si="6"/>
        <v>13</v>
      </c>
      <c r="K30" s="395">
        <f t="shared" si="6"/>
        <v>0</v>
      </c>
      <c r="L30" s="395">
        <f t="shared" si="6"/>
        <v>6</v>
      </c>
      <c r="M30" s="395">
        <f t="shared" si="6"/>
        <v>7</v>
      </c>
      <c r="N30" s="395">
        <f t="shared" si="6"/>
        <v>4</v>
      </c>
      <c r="O30" s="395">
        <f t="shared" si="6"/>
        <v>12</v>
      </c>
      <c r="P30" s="395">
        <f t="shared" si="6"/>
        <v>0</v>
      </c>
      <c r="Q30" s="396">
        <f>SUM(Q28:Q29)</f>
        <v>0</v>
      </c>
      <c r="R30" s="397">
        <f>SUM(R28:R29)</f>
        <v>45</v>
      </c>
    </row>
    <row r="31" spans="1:18" x14ac:dyDescent="0.2">
      <c r="A31" s="363" t="s">
        <v>417</v>
      </c>
      <c r="B31" s="383"/>
      <c r="C31" s="383"/>
      <c r="D31" s="398">
        <f t="shared" ref="D31:Q31" si="7">D27+D30</f>
        <v>0</v>
      </c>
      <c r="E31" s="399">
        <f t="shared" si="7"/>
        <v>0</v>
      </c>
      <c r="F31" s="399">
        <f t="shared" si="7"/>
        <v>5</v>
      </c>
      <c r="G31" s="399">
        <f t="shared" si="7"/>
        <v>32</v>
      </c>
      <c r="H31" s="400">
        <f t="shared" si="7"/>
        <v>54</v>
      </c>
      <c r="I31" s="401">
        <f t="shared" si="7"/>
        <v>71</v>
      </c>
      <c r="J31" s="401">
        <f t="shared" si="7"/>
        <v>46</v>
      </c>
      <c r="K31" s="401">
        <f t="shared" si="7"/>
        <v>55</v>
      </c>
      <c r="L31" s="401">
        <f t="shared" si="7"/>
        <v>52</v>
      </c>
      <c r="M31" s="401">
        <f t="shared" si="7"/>
        <v>70</v>
      </c>
      <c r="N31" s="401">
        <f>N27+N30</f>
        <v>34</v>
      </c>
      <c r="O31" s="401">
        <f>O27+O30</f>
        <v>23</v>
      </c>
      <c r="P31" s="401">
        <f t="shared" si="7"/>
        <v>0</v>
      </c>
      <c r="Q31" s="401">
        <f t="shared" si="7"/>
        <v>0</v>
      </c>
      <c r="R31" s="391">
        <f>R27+R30</f>
        <v>442</v>
      </c>
    </row>
    <row r="32" spans="1:18" x14ac:dyDescent="0.2">
      <c r="A32" s="369" t="s">
        <v>418</v>
      </c>
      <c r="B32" s="368" t="s">
        <v>353</v>
      </c>
      <c r="C32" s="368" t="s">
        <v>350</v>
      </c>
      <c r="D32" s="370"/>
      <c r="E32" s="371"/>
      <c r="F32" s="371"/>
      <c r="G32" s="371"/>
      <c r="H32" s="372"/>
      <c r="I32" s="373"/>
      <c r="J32" s="373">
        <v>1</v>
      </c>
      <c r="K32" s="373"/>
      <c r="L32" s="373"/>
      <c r="M32" s="373"/>
      <c r="N32" s="373"/>
      <c r="O32" s="373"/>
      <c r="P32" s="373"/>
      <c r="Q32" s="373"/>
      <c r="R32" s="389">
        <f>SUM(D32:Q32)</f>
        <v>1</v>
      </c>
    </row>
    <row r="33" spans="1:18" x14ac:dyDescent="0.2">
      <c r="A33" s="375"/>
      <c r="B33" s="375"/>
      <c r="C33" s="376" t="s">
        <v>369</v>
      </c>
      <c r="D33" s="377"/>
      <c r="E33" s="378"/>
      <c r="F33" s="378"/>
      <c r="G33" s="378"/>
      <c r="H33" s="379"/>
      <c r="I33" s="380"/>
      <c r="J33" s="380"/>
      <c r="K33" s="380"/>
      <c r="L33" s="380">
        <v>15</v>
      </c>
      <c r="M33" s="380">
        <v>14</v>
      </c>
      <c r="N33" s="380">
        <v>2</v>
      </c>
      <c r="O33" s="380"/>
      <c r="P33" s="380"/>
      <c r="Q33" s="380"/>
      <c r="R33" s="390">
        <f>SUM(D33:Q33)</f>
        <v>31</v>
      </c>
    </row>
    <row r="34" spans="1:18" x14ac:dyDescent="0.2">
      <c r="A34" s="375"/>
      <c r="B34" s="375"/>
      <c r="C34" s="376" t="s">
        <v>359</v>
      </c>
      <c r="D34" s="377">
        <v>2</v>
      </c>
      <c r="E34" s="378">
        <v>3</v>
      </c>
      <c r="F34" s="378">
        <v>4</v>
      </c>
      <c r="G34" s="378"/>
      <c r="H34" s="379"/>
      <c r="I34" s="380"/>
      <c r="J34" s="380"/>
      <c r="K34" s="380"/>
      <c r="L34" s="380"/>
      <c r="M34" s="380"/>
      <c r="N34" s="380"/>
      <c r="O34" s="380"/>
      <c r="P34" s="380"/>
      <c r="Q34" s="380"/>
      <c r="R34" s="390">
        <f t="shared" ref="R34:R41" si="8">SUM(D34:Q34)</f>
        <v>9</v>
      </c>
    </row>
    <row r="35" spans="1:18" x14ac:dyDescent="0.2">
      <c r="A35" s="375"/>
      <c r="B35" s="375"/>
      <c r="C35" s="376" t="s">
        <v>360</v>
      </c>
      <c r="D35" s="377"/>
      <c r="E35" s="378"/>
      <c r="F35" s="378"/>
      <c r="G35" s="378"/>
      <c r="H35" s="379"/>
      <c r="I35" s="380"/>
      <c r="J35" s="380"/>
      <c r="K35" s="380"/>
      <c r="L35" s="380"/>
      <c r="M35" s="380"/>
      <c r="N35" s="380">
        <v>15</v>
      </c>
      <c r="O35" s="380"/>
      <c r="P35" s="380"/>
      <c r="Q35" s="380"/>
      <c r="R35" s="390">
        <f t="shared" si="8"/>
        <v>15</v>
      </c>
    </row>
    <row r="36" spans="1:18" x14ac:dyDescent="0.2">
      <c r="A36" s="375"/>
      <c r="B36" s="375"/>
      <c r="C36" s="376" t="s">
        <v>362</v>
      </c>
      <c r="D36" s="377"/>
      <c r="E36" s="378"/>
      <c r="F36" s="378">
        <v>11</v>
      </c>
      <c r="G36" s="378">
        <v>6</v>
      </c>
      <c r="H36" s="379">
        <v>67</v>
      </c>
      <c r="I36" s="380">
        <v>32</v>
      </c>
      <c r="J36" s="380">
        <v>27</v>
      </c>
      <c r="K36" s="380">
        <v>52</v>
      </c>
      <c r="L36" s="380">
        <v>29</v>
      </c>
      <c r="M36" s="380">
        <v>55</v>
      </c>
      <c r="N36" s="380">
        <v>18</v>
      </c>
      <c r="O36" s="380"/>
      <c r="P36" s="380"/>
      <c r="Q36" s="380"/>
      <c r="R36" s="390">
        <f t="shared" si="8"/>
        <v>297</v>
      </c>
    </row>
    <row r="37" spans="1:18" x14ac:dyDescent="0.2">
      <c r="A37" s="375"/>
      <c r="B37" s="375"/>
      <c r="C37" s="376" t="s">
        <v>370</v>
      </c>
      <c r="D37" s="377"/>
      <c r="E37" s="378"/>
      <c r="F37" s="378"/>
      <c r="G37" s="378"/>
      <c r="H37" s="379"/>
      <c r="I37" s="380"/>
      <c r="J37" s="380">
        <v>3</v>
      </c>
      <c r="K37" s="380"/>
      <c r="L37" s="380"/>
      <c r="M37" s="380"/>
      <c r="N37" s="380"/>
      <c r="O37" s="380"/>
      <c r="P37" s="380"/>
      <c r="Q37" s="380"/>
      <c r="R37" s="390">
        <f t="shared" si="8"/>
        <v>3</v>
      </c>
    </row>
    <row r="38" spans="1:18" x14ac:dyDescent="0.2">
      <c r="A38" s="375"/>
      <c r="B38" s="375"/>
      <c r="C38" s="376" t="s">
        <v>409</v>
      </c>
      <c r="D38" s="377"/>
      <c r="E38" s="378">
        <v>2</v>
      </c>
      <c r="F38" s="378"/>
      <c r="G38" s="378">
        <v>15</v>
      </c>
      <c r="H38" s="379">
        <v>4</v>
      </c>
      <c r="I38" s="380"/>
      <c r="J38" s="380"/>
      <c r="K38" s="380"/>
      <c r="L38" s="380"/>
      <c r="M38" s="380"/>
      <c r="N38" s="380"/>
      <c r="O38" s="380"/>
      <c r="P38" s="380"/>
      <c r="Q38" s="380"/>
      <c r="R38" s="390">
        <f t="shared" si="8"/>
        <v>21</v>
      </c>
    </row>
    <row r="39" spans="1:18" x14ac:dyDescent="0.2">
      <c r="A39" s="375"/>
      <c r="B39" s="375"/>
      <c r="C39" s="376" t="s">
        <v>413</v>
      </c>
      <c r="D39" s="377"/>
      <c r="E39" s="378"/>
      <c r="F39" s="378"/>
      <c r="G39" s="378"/>
      <c r="H39" s="379"/>
      <c r="I39" s="380">
        <v>7</v>
      </c>
      <c r="J39" s="380">
        <v>5</v>
      </c>
      <c r="K39" s="380"/>
      <c r="L39" s="380"/>
      <c r="M39" s="380"/>
      <c r="N39" s="380"/>
      <c r="O39" s="380"/>
      <c r="P39" s="380"/>
      <c r="Q39" s="380"/>
      <c r="R39" s="390">
        <f t="shared" si="8"/>
        <v>12</v>
      </c>
    </row>
    <row r="40" spans="1:18" x14ac:dyDescent="0.2">
      <c r="A40" s="375"/>
      <c r="B40" s="375"/>
      <c r="C40" s="376" t="s">
        <v>365</v>
      </c>
      <c r="D40" s="377"/>
      <c r="E40" s="378"/>
      <c r="F40" s="378"/>
      <c r="G40" s="378"/>
      <c r="H40" s="379"/>
      <c r="I40" s="380">
        <v>2</v>
      </c>
      <c r="J40" s="380">
        <v>9</v>
      </c>
      <c r="K40" s="380"/>
      <c r="L40" s="380"/>
      <c r="M40" s="380"/>
      <c r="N40" s="380"/>
      <c r="O40" s="380"/>
      <c r="P40" s="380"/>
      <c r="Q40" s="380"/>
      <c r="R40" s="390">
        <f t="shared" si="8"/>
        <v>11</v>
      </c>
    </row>
    <row r="41" spans="1:18" x14ac:dyDescent="0.2">
      <c r="A41" s="375"/>
      <c r="B41" s="375"/>
      <c r="C41" s="376" t="s">
        <v>371</v>
      </c>
      <c r="D41" s="377"/>
      <c r="E41" s="378"/>
      <c r="F41" s="378"/>
      <c r="G41" s="378"/>
      <c r="H41" s="379"/>
      <c r="I41" s="380"/>
      <c r="J41" s="380">
        <v>9</v>
      </c>
      <c r="K41" s="380"/>
      <c r="L41" s="380"/>
      <c r="M41" s="380"/>
      <c r="N41" s="380"/>
      <c r="O41" s="380"/>
      <c r="P41" s="380"/>
      <c r="Q41" s="380"/>
      <c r="R41" s="390">
        <f t="shared" si="8"/>
        <v>9</v>
      </c>
    </row>
    <row r="42" spans="1:18" x14ac:dyDescent="0.2">
      <c r="A42" s="375"/>
      <c r="B42" s="363" t="s">
        <v>410</v>
      </c>
      <c r="C42" s="383"/>
      <c r="D42" s="384">
        <f t="shared" ref="D42:Q42" si="9">SUM(D32:D41)</f>
        <v>2</v>
      </c>
      <c r="E42" s="385">
        <f t="shared" si="9"/>
        <v>5</v>
      </c>
      <c r="F42" s="385">
        <f t="shared" si="9"/>
        <v>15</v>
      </c>
      <c r="G42" s="385">
        <f t="shared" si="9"/>
        <v>21</v>
      </c>
      <c r="H42" s="386">
        <f t="shared" si="9"/>
        <v>71</v>
      </c>
      <c r="I42" s="387">
        <f t="shared" si="9"/>
        <v>41</v>
      </c>
      <c r="J42" s="387">
        <f t="shared" si="9"/>
        <v>54</v>
      </c>
      <c r="K42" s="387">
        <f t="shared" si="9"/>
        <v>52</v>
      </c>
      <c r="L42" s="387">
        <f t="shared" si="9"/>
        <v>44</v>
      </c>
      <c r="M42" s="387">
        <f t="shared" si="9"/>
        <v>69</v>
      </c>
      <c r="N42" s="387">
        <f t="shared" si="9"/>
        <v>35</v>
      </c>
      <c r="O42" s="387">
        <f t="shared" si="9"/>
        <v>0</v>
      </c>
      <c r="P42" s="387">
        <f t="shared" si="9"/>
        <v>0</v>
      </c>
      <c r="Q42" s="387">
        <f t="shared" si="9"/>
        <v>0</v>
      </c>
      <c r="R42" s="391">
        <f>SUM(R32:R41)</f>
        <v>409</v>
      </c>
    </row>
    <row r="43" spans="1:18" x14ac:dyDescent="0.2">
      <c r="A43" s="375"/>
      <c r="B43" s="368" t="s">
        <v>354</v>
      </c>
      <c r="C43" s="368" t="s">
        <v>369</v>
      </c>
      <c r="D43" s="370"/>
      <c r="E43" s="371"/>
      <c r="F43" s="371"/>
      <c r="G43" s="371"/>
      <c r="H43" s="372"/>
      <c r="I43" s="373"/>
      <c r="J43" s="373"/>
      <c r="K43" s="373"/>
      <c r="L43" s="373">
        <v>2</v>
      </c>
      <c r="M43" s="373">
        <v>7</v>
      </c>
      <c r="N43" s="373"/>
      <c r="O43" s="373"/>
      <c r="P43" s="373"/>
      <c r="Q43" s="373"/>
      <c r="R43" s="389">
        <f>SUM(D43:Q43)</f>
        <v>9</v>
      </c>
    </row>
    <row r="44" spans="1:18" x14ac:dyDescent="0.2">
      <c r="A44" s="375"/>
      <c r="B44" s="375"/>
      <c r="C44" s="376" t="s">
        <v>372</v>
      </c>
      <c r="D44" s="377"/>
      <c r="E44" s="378"/>
      <c r="F44" s="378"/>
      <c r="G44" s="378"/>
      <c r="H44" s="379"/>
      <c r="I44" s="380"/>
      <c r="J44" s="380"/>
      <c r="K44" s="380"/>
      <c r="L44" s="380"/>
      <c r="M44" s="380">
        <v>1</v>
      </c>
      <c r="N44" s="380"/>
      <c r="O44" s="380"/>
      <c r="P44" s="380"/>
      <c r="Q44" s="380"/>
      <c r="R44" s="390">
        <f>SUM(D44:Q44)</f>
        <v>1</v>
      </c>
    </row>
    <row r="45" spans="1:18" x14ac:dyDescent="0.2">
      <c r="A45" s="375"/>
      <c r="B45" s="375"/>
      <c r="C45" s="376" t="s">
        <v>359</v>
      </c>
      <c r="D45" s="377"/>
      <c r="E45" s="378"/>
      <c r="F45" s="378">
        <v>13</v>
      </c>
      <c r="G45" s="378">
        <v>1</v>
      </c>
      <c r="H45" s="379"/>
      <c r="I45" s="380"/>
      <c r="J45" s="380"/>
      <c r="K45" s="380"/>
      <c r="L45" s="380"/>
      <c r="M45" s="380">
        <v>5</v>
      </c>
      <c r="N45" s="380"/>
      <c r="O45" s="380"/>
      <c r="P45" s="380"/>
      <c r="Q45" s="380"/>
      <c r="R45" s="390">
        <f>SUM(D45:Q45)</f>
        <v>19</v>
      </c>
    </row>
    <row r="46" spans="1:18" x14ac:dyDescent="0.2">
      <c r="A46" s="375"/>
      <c r="B46" s="375"/>
      <c r="C46" s="376" t="s">
        <v>362</v>
      </c>
      <c r="D46" s="377"/>
      <c r="E46" s="378"/>
      <c r="F46" s="378"/>
      <c r="G46" s="378"/>
      <c r="H46" s="379"/>
      <c r="I46" s="380">
        <v>7</v>
      </c>
      <c r="J46" s="380">
        <v>6</v>
      </c>
      <c r="K46" s="380">
        <v>2</v>
      </c>
      <c r="L46" s="380">
        <v>23</v>
      </c>
      <c r="M46" s="380">
        <v>23</v>
      </c>
      <c r="N46" s="380"/>
      <c r="O46" s="380"/>
      <c r="P46" s="380"/>
      <c r="Q46" s="380"/>
      <c r="R46" s="390">
        <f>SUM(D46:Q46)</f>
        <v>61</v>
      </c>
    </row>
    <row r="47" spans="1:18" x14ac:dyDescent="0.2">
      <c r="A47" s="375"/>
      <c r="B47" s="363" t="s">
        <v>411</v>
      </c>
      <c r="C47" s="383"/>
      <c r="D47" s="384">
        <f t="shared" ref="D47:Q47" si="10">SUM(D43:D46)</f>
        <v>0</v>
      </c>
      <c r="E47" s="385">
        <f t="shared" si="10"/>
        <v>0</v>
      </c>
      <c r="F47" s="385">
        <f t="shared" si="10"/>
        <v>13</v>
      </c>
      <c r="G47" s="385">
        <f t="shared" si="10"/>
        <v>1</v>
      </c>
      <c r="H47" s="386">
        <f t="shared" si="10"/>
        <v>0</v>
      </c>
      <c r="I47" s="387">
        <f t="shared" si="10"/>
        <v>7</v>
      </c>
      <c r="J47" s="387">
        <f t="shared" si="10"/>
        <v>6</v>
      </c>
      <c r="K47" s="387">
        <f t="shared" si="10"/>
        <v>2</v>
      </c>
      <c r="L47" s="387">
        <f t="shared" si="10"/>
        <v>25</v>
      </c>
      <c r="M47" s="387">
        <f t="shared" si="10"/>
        <v>36</v>
      </c>
      <c r="N47" s="387">
        <f t="shared" si="10"/>
        <v>0</v>
      </c>
      <c r="O47" s="387">
        <f t="shared" si="10"/>
        <v>0</v>
      </c>
      <c r="P47" s="387">
        <f t="shared" si="10"/>
        <v>0</v>
      </c>
      <c r="Q47" s="387">
        <f t="shared" si="10"/>
        <v>0</v>
      </c>
      <c r="R47" s="391">
        <f>SUM(R43:R46)</f>
        <v>90</v>
      </c>
    </row>
    <row r="48" spans="1:18" x14ac:dyDescent="0.2">
      <c r="A48" s="363" t="s">
        <v>419</v>
      </c>
      <c r="B48" s="383"/>
      <c r="C48" s="383"/>
      <c r="D48" s="384">
        <f t="shared" ref="D48:Q48" si="11">D42+D47</f>
        <v>2</v>
      </c>
      <c r="E48" s="385">
        <f t="shared" si="11"/>
        <v>5</v>
      </c>
      <c r="F48" s="385">
        <f t="shared" si="11"/>
        <v>28</v>
      </c>
      <c r="G48" s="385">
        <f t="shared" si="11"/>
        <v>22</v>
      </c>
      <c r="H48" s="386">
        <f t="shared" si="11"/>
        <v>71</v>
      </c>
      <c r="I48" s="387">
        <f t="shared" si="11"/>
        <v>48</v>
      </c>
      <c r="J48" s="387">
        <f t="shared" si="11"/>
        <v>60</v>
      </c>
      <c r="K48" s="387">
        <f t="shared" si="11"/>
        <v>54</v>
      </c>
      <c r="L48" s="387">
        <f t="shared" si="11"/>
        <v>69</v>
      </c>
      <c r="M48" s="387">
        <f t="shared" si="11"/>
        <v>105</v>
      </c>
      <c r="N48" s="387">
        <f t="shared" si="11"/>
        <v>35</v>
      </c>
      <c r="O48" s="387">
        <f t="shared" si="11"/>
        <v>0</v>
      </c>
      <c r="P48" s="387">
        <f t="shared" si="11"/>
        <v>0</v>
      </c>
      <c r="Q48" s="387">
        <f t="shared" si="11"/>
        <v>0</v>
      </c>
      <c r="R48" s="391">
        <f>R42+R47</f>
        <v>499</v>
      </c>
    </row>
    <row r="49" spans="1:18" x14ac:dyDescent="0.2">
      <c r="A49" s="369" t="s">
        <v>420</v>
      </c>
      <c r="B49" s="368" t="s">
        <v>353</v>
      </c>
      <c r="C49" s="368" t="s">
        <v>414</v>
      </c>
      <c r="D49" s="370"/>
      <c r="E49" s="371">
        <v>2</v>
      </c>
      <c r="F49" s="371"/>
      <c r="G49" s="371"/>
      <c r="H49" s="372"/>
      <c r="I49" s="373"/>
      <c r="J49" s="373"/>
      <c r="K49" s="373"/>
      <c r="L49" s="373"/>
      <c r="M49" s="373"/>
      <c r="N49" s="373"/>
      <c r="O49" s="373"/>
      <c r="P49" s="373"/>
      <c r="Q49" s="373"/>
      <c r="R49" s="389">
        <f>SUM(D49:Q49)</f>
        <v>2</v>
      </c>
    </row>
    <row r="50" spans="1:18" x14ac:dyDescent="0.2">
      <c r="A50" s="375"/>
      <c r="B50" s="375"/>
      <c r="C50" s="376" t="s">
        <v>369</v>
      </c>
      <c r="D50" s="377"/>
      <c r="E50" s="378"/>
      <c r="F50" s="378"/>
      <c r="G50" s="378"/>
      <c r="H50" s="379"/>
      <c r="I50" s="380"/>
      <c r="J50" s="380"/>
      <c r="K50" s="380"/>
      <c r="L50" s="380">
        <v>1</v>
      </c>
      <c r="M50" s="380">
        <v>1</v>
      </c>
      <c r="N50" s="380">
        <v>6</v>
      </c>
      <c r="O50" s="380"/>
      <c r="P50" s="380"/>
      <c r="Q50" s="380"/>
      <c r="R50" s="390">
        <f>SUM(D50:Q50)</f>
        <v>8</v>
      </c>
    </row>
    <row r="51" spans="1:18" x14ac:dyDescent="0.2">
      <c r="A51" s="375"/>
      <c r="B51" s="375"/>
      <c r="C51" s="376" t="s">
        <v>359</v>
      </c>
      <c r="D51" s="377">
        <v>8</v>
      </c>
      <c r="E51" s="378">
        <v>14</v>
      </c>
      <c r="F51" s="378"/>
      <c r="G51" s="378"/>
      <c r="H51" s="379"/>
      <c r="I51" s="380"/>
      <c r="J51" s="380">
        <v>14</v>
      </c>
      <c r="K51" s="380">
        <v>28</v>
      </c>
      <c r="L51" s="380">
        <v>22</v>
      </c>
      <c r="M51" s="380">
        <v>2</v>
      </c>
      <c r="N51" s="380"/>
      <c r="O51" s="380"/>
      <c r="P51" s="380"/>
      <c r="Q51" s="380"/>
      <c r="R51" s="390">
        <f t="shared" ref="R51:R58" si="12">SUM(D51:Q51)</f>
        <v>88</v>
      </c>
    </row>
    <row r="52" spans="1:18" x14ac:dyDescent="0.2">
      <c r="A52" s="375"/>
      <c r="B52" s="375"/>
      <c r="C52" s="376" t="s">
        <v>360</v>
      </c>
      <c r="D52" s="377"/>
      <c r="E52" s="378"/>
      <c r="F52" s="378"/>
      <c r="G52" s="378"/>
      <c r="H52" s="379"/>
      <c r="I52" s="380"/>
      <c r="J52" s="380"/>
      <c r="K52" s="380">
        <v>14</v>
      </c>
      <c r="L52" s="380">
        <v>10</v>
      </c>
      <c r="M52" s="380">
        <v>17</v>
      </c>
      <c r="N52" s="380">
        <v>16</v>
      </c>
      <c r="O52" s="380"/>
      <c r="P52" s="380"/>
      <c r="Q52" s="380"/>
      <c r="R52" s="390">
        <f t="shared" si="12"/>
        <v>57</v>
      </c>
    </row>
    <row r="53" spans="1:18" x14ac:dyDescent="0.2">
      <c r="A53" s="375"/>
      <c r="B53" s="375"/>
      <c r="C53" s="376" t="s">
        <v>361</v>
      </c>
      <c r="D53" s="377"/>
      <c r="E53" s="378">
        <v>5</v>
      </c>
      <c r="F53" s="378"/>
      <c r="G53" s="378"/>
      <c r="H53" s="379"/>
      <c r="I53" s="380"/>
      <c r="J53" s="380"/>
      <c r="K53" s="380"/>
      <c r="L53" s="380"/>
      <c r="M53" s="380"/>
      <c r="N53" s="380"/>
      <c r="O53" s="380"/>
      <c r="P53" s="380"/>
      <c r="Q53" s="380"/>
      <c r="R53" s="390">
        <f t="shared" si="12"/>
        <v>5</v>
      </c>
    </row>
    <row r="54" spans="1:18" x14ac:dyDescent="0.2">
      <c r="A54" s="375"/>
      <c r="B54" s="375"/>
      <c r="C54" s="376" t="s">
        <v>362</v>
      </c>
      <c r="D54" s="377"/>
      <c r="E54" s="378"/>
      <c r="F54" s="378"/>
      <c r="G54" s="378">
        <v>16</v>
      </c>
      <c r="H54" s="379">
        <v>37</v>
      </c>
      <c r="I54" s="380">
        <v>22</v>
      </c>
      <c r="J54" s="380">
        <v>20</v>
      </c>
      <c r="K54" s="380">
        <v>1</v>
      </c>
      <c r="L54" s="380">
        <v>7</v>
      </c>
      <c r="M54" s="380">
        <v>12</v>
      </c>
      <c r="N54" s="380">
        <v>13</v>
      </c>
      <c r="O54" s="380"/>
      <c r="P54" s="380"/>
      <c r="Q54" s="380"/>
      <c r="R54" s="390">
        <f t="shared" si="12"/>
        <v>128</v>
      </c>
    </row>
    <row r="55" spans="1:18" x14ac:dyDescent="0.2">
      <c r="A55" s="375"/>
      <c r="B55" s="375"/>
      <c r="C55" s="376" t="s">
        <v>409</v>
      </c>
      <c r="D55" s="377"/>
      <c r="E55" s="378"/>
      <c r="F55" s="378"/>
      <c r="G55" s="378">
        <v>2</v>
      </c>
      <c r="H55" s="379">
        <v>4</v>
      </c>
      <c r="I55" s="380">
        <v>1</v>
      </c>
      <c r="J55" s="380"/>
      <c r="K55" s="380"/>
      <c r="L55" s="380"/>
      <c r="M55" s="380"/>
      <c r="N55" s="380"/>
      <c r="O55" s="380"/>
      <c r="P55" s="380"/>
      <c r="Q55" s="380"/>
      <c r="R55" s="390">
        <f t="shared" si="12"/>
        <v>7</v>
      </c>
    </row>
    <row r="56" spans="1:18" x14ac:dyDescent="0.2">
      <c r="A56" s="375"/>
      <c r="B56" s="375"/>
      <c r="C56" s="376" t="s">
        <v>413</v>
      </c>
      <c r="D56" s="377"/>
      <c r="E56" s="378"/>
      <c r="F56" s="378">
        <v>2</v>
      </c>
      <c r="G56" s="378"/>
      <c r="H56" s="379">
        <v>5</v>
      </c>
      <c r="I56" s="380">
        <v>4</v>
      </c>
      <c r="J56" s="380"/>
      <c r="K56" s="380"/>
      <c r="L56" s="380"/>
      <c r="M56" s="380"/>
      <c r="N56" s="380"/>
      <c r="O56" s="380"/>
      <c r="P56" s="380"/>
      <c r="Q56" s="380"/>
      <c r="R56" s="390">
        <f t="shared" si="12"/>
        <v>11</v>
      </c>
    </row>
    <row r="57" spans="1:18" x14ac:dyDescent="0.2">
      <c r="A57" s="375"/>
      <c r="B57" s="375"/>
      <c r="C57" s="376" t="s">
        <v>364</v>
      </c>
      <c r="D57" s="377"/>
      <c r="E57" s="378"/>
      <c r="F57" s="378"/>
      <c r="G57" s="378"/>
      <c r="H57" s="379"/>
      <c r="I57" s="380"/>
      <c r="J57" s="380">
        <v>1</v>
      </c>
      <c r="K57" s="380"/>
      <c r="L57" s="380"/>
      <c r="M57" s="380"/>
      <c r="N57" s="380">
        <v>3</v>
      </c>
      <c r="O57" s="380"/>
      <c r="P57" s="380"/>
      <c r="Q57" s="380"/>
      <c r="R57" s="390">
        <f t="shared" si="12"/>
        <v>4</v>
      </c>
    </row>
    <row r="58" spans="1:18" x14ac:dyDescent="0.2">
      <c r="A58" s="375"/>
      <c r="B58" s="375"/>
      <c r="C58" s="376" t="s">
        <v>365</v>
      </c>
      <c r="D58" s="377"/>
      <c r="E58" s="378"/>
      <c r="F58" s="378"/>
      <c r="G58" s="378"/>
      <c r="H58" s="379"/>
      <c r="I58" s="380"/>
      <c r="J58" s="380"/>
      <c r="K58" s="380"/>
      <c r="L58" s="380"/>
      <c r="M58" s="380">
        <v>5</v>
      </c>
      <c r="N58" s="380">
        <v>2</v>
      </c>
      <c r="O58" s="380">
        <v>5</v>
      </c>
      <c r="P58" s="380"/>
      <c r="Q58" s="380"/>
      <c r="R58" s="390">
        <f t="shared" si="12"/>
        <v>12</v>
      </c>
    </row>
    <row r="59" spans="1:18" x14ac:dyDescent="0.2">
      <c r="A59" s="375"/>
      <c r="B59" s="363" t="s">
        <v>410</v>
      </c>
      <c r="C59" s="383"/>
      <c r="D59" s="384">
        <f t="shared" ref="D59:Q59" si="13">SUM(D49:D58)</f>
        <v>8</v>
      </c>
      <c r="E59" s="385">
        <f t="shared" si="13"/>
        <v>21</v>
      </c>
      <c r="F59" s="385">
        <f t="shared" si="13"/>
        <v>2</v>
      </c>
      <c r="G59" s="385">
        <f t="shared" si="13"/>
        <v>18</v>
      </c>
      <c r="H59" s="386">
        <f t="shared" si="13"/>
        <v>46</v>
      </c>
      <c r="I59" s="387">
        <f t="shared" si="13"/>
        <v>27</v>
      </c>
      <c r="J59" s="387">
        <f t="shared" si="13"/>
        <v>35</v>
      </c>
      <c r="K59" s="387">
        <f t="shared" si="13"/>
        <v>43</v>
      </c>
      <c r="L59" s="387">
        <f t="shared" si="13"/>
        <v>40</v>
      </c>
      <c r="M59" s="387">
        <f t="shared" si="13"/>
        <v>37</v>
      </c>
      <c r="N59" s="387">
        <f t="shared" si="13"/>
        <v>40</v>
      </c>
      <c r="O59" s="387">
        <f t="shared" si="13"/>
        <v>5</v>
      </c>
      <c r="P59" s="387">
        <f t="shared" si="13"/>
        <v>0</v>
      </c>
      <c r="Q59" s="387">
        <f t="shared" si="13"/>
        <v>0</v>
      </c>
      <c r="R59" s="391">
        <f>SUM(R49:R58)</f>
        <v>322</v>
      </c>
    </row>
    <row r="60" spans="1:18" x14ac:dyDescent="0.2">
      <c r="A60" s="375"/>
      <c r="B60" s="368" t="s">
        <v>354</v>
      </c>
      <c r="C60" s="368" t="s">
        <v>359</v>
      </c>
      <c r="D60" s="370"/>
      <c r="E60" s="371"/>
      <c r="F60" s="371"/>
      <c r="G60" s="371"/>
      <c r="H60" s="372">
        <v>2</v>
      </c>
      <c r="I60" s="373">
        <v>15</v>
      </c>
      <c r="J60" s="373">
        <v>5</v>
      </c>
      <c r="K60" s="373">
        <v>1</v>
      </c>
      <c r="L60" s="373">
        <v>2</v>
      </c>
      <c r="M60" s="373">
        <v>11</v>
      </c>
      <c r="N60" s="373"/>
      <c r="O60" s="373"/>
      <c r="P60" s="373"/>
      <c r="Q60" s="373"/>
      <c r="R60" s="389">
        <v>36</v>
      </c>
    </row>
    <row r="61" spans="1:18" x14ac:dyDescent="0.2">
      <c r="A61" s="375"/>
      <c r="B61" s="375"/>
      <c r="C61" s="376" t="s">
        <v>360</v>
      </c>
      <c r="D61" s="377"/>
      <c r="E61" s="378"/>
      <c r="F61" s="378"/>
      <c r="G61" s="378"/>
      <c r="H61" s="379"/>
      <c r="I61" s="380"/>
      <c r="J61" s="380"/>
      <c r="K61" s="380">
        <v>1</v>
      </c>
      <c r="L61" s="380">
        <v>4</v>
      </c>
      <c r="M61" s="380">
        <v>10</v>
      </c>
      <c r="N61" s="380">
        <v>1</v>
      </c>
      <c r="O61" s="380"/>
      <c r="P61" s="380"/>
      <c r="Q61" s="380"/>
      <c r="R61" s="390">
        <v>16</v>
      </c>
    </row>
    <row r="62" spans="1:18" x14ac:dyDescent="0.2">
      <c r="A62" s="375"/>
      <c r="B62" s="375"/>
      <c r="C62" s="376" t="s">
        <v>361</v>
      </c>
      <c r="D62" s="377"/>
      <c r="E62" s="378">
        <v>10</v>
      </c>
      <c r="F62" s="378"/>
      <c r="G62" s="378"/>
      <c r="H62" s="379"/>
      <c r="I62" s="380"/>
      <c r="J62" s="380"/>
      <c r="K62" s="380"/>
      <c r="L62" s="380"/>
      <c r="M62" s="380"/>
      <c r="N62" s="380"/>
      <c r="O62" s="380"/>
      <c r="P62" s="380"/>
      <c r="Q62" s="380"/>
      <c r="R62" s="390">
        <v>10</v>
      </c>
    </row>
    <row r="63" spans="1:18" x14ac:dyDescent="0.2">
      <c r="A63" s="375"/>
      <c r="B63" s="375"/>
      <c r="C63" s="376" t="s">
        <v>373</v>
      </c>
      <c r="D63" s="377"/>
      <c r="E63" s="378"/>
      <c r="F63" s="378"/>
      <c r="G63" s="378"/>
      <c r="H63" s="379"/>
      <c r="I63" s="380"/>
      <c r="J63" s="380"/>
      <c r="K63" s="380"/>
      <c r="L63" s="380"/>
      <c r="M63" s="380"/>
      <c r="N63" s="380"/>
      <c r="O63" s="380"/>
      <c r="P63" s="380">
        <v>1</v>
      </c>
      <c r="Q63" s="380"/>
      <c r="R63" s="390">
        <v>1</v>
      </c>
    </row>
    <row r="64" spans="1:18" x14ac:dyDescent="0.2">
      <c r="A64" s="375"/>
      <c r="B64" s="363" t="s">
        <v>411</v>
      </c>
      <c r="C64" s="383"/>
      <c r="D64" s="384">
        <f t="shared" ref="D64:Q64" si="14">SUM(D60:D63)</f>
        <v>0</v>
      </c>
      <c r="E64" s="385">
        <f t="shared" si="14"/>
        <v>10</v>
      </c>
      <c r="F64" s="385">
        <f t="shared" si="14"/>
        <v>0</v>
      </c>
      <c r="G64" s="385">
        <f t="shared" si="14"/>
        <v>0</v>
      </c>
      <c r="H64" s="386">
        <f t="shared" si="14"/>
        <v>2</v>
      </c>
      <c r="I64" s="387">
        <f t="shared" si="14"/>
        <v>15</v>
      </c>
      <c r="J64" s="387">
        <f t="shared" si="14"/>
        <v>5</v>
      </c>
      <c r="K64" s="387">
        <f t="shared" si="14"/>
        <v>2</v>
      </c>
      <c r="L64" s="387">
        <f t="shared" si="14"/>
        <v>6</v>
      </c>
      <c r="M64" s="387">
        <f t="shared" si="14"/>
        <v>21</v>
      </c>
      <c r="N64" s="387">
        <f t="shared" si="14"/>
        <v>1</v>
      </c>
      <c r="O64" s="387">
        <f t="shared" si="14"/>
        <v>0</v>
      </c>
      <c r="P64" s="387">
        <f t="shared" si="14"/>
        <v>1</v>
      </c>
      <c r="Q64" s="387">
        <f t="shared" si="14"/>
        <v>0</v>
      </c>
      <c r="R64" s="391">
        <f>SUM(R60:R63)</f>
        <v>63</v>
      </c>
    </row>
    <row r="65" spans="1:18" x14ac:dyDescent="0.2">
      <c r="A65" s="363" t="s">
        <v>421</v>
      </c>
      <c r="B65" s="383"/>
      <c r="C65" s="383"/>
      <c r="D65" s="384">
        <f t="shared" ref="D65:Q65" si="15">D59+D64</f>
        <v>8</v>
      </c>
      <c r="E65" s="385">
        <f t="shared" si="15"/>
        <v>31</v>
      </c>
      <c r="F65" s="385">
        <f t="shared" si="15"/>
        <v>2</v>
      </c>
      <c r="G65" s="385">
        <f t="shared" si="15"/>
        <v>18</v>
      </c>
      <c r="H65" s="386">
        <f t="shared" si="15"/>
        <v>48</v>
      </c>
      <c r="I65" s="387">
        <f t="shared" si="15"/>
        <v>42</v>
      </c>
      <c r="J65" s="387">
        <f t="shared" si="15"/>
        <v>40</v>
      </c>
      <c r="K65" s="387">
        <f t="shared" si="15"/>
        <v>45</v>
      </c>
      <c r="L65" s="387">
        <f t="shared" si="15"/>
        <v>46</v>
      </c>
      <c r="M65" s="387">
        <f t="shared" si="15"/>
        <v>58</v>
      </c>
      <c r="N65" s="387">
        <f t="shared" si="15"/>
        <v>41</v>
      </c>
      <c r="O65" s="387">
        <f t="shared" si="15"/>
        <v>5</v>
      </c>
      <c r="P65" s="387">
        <f t="shared" si="15"/>
        <v>1</v>
      </c>
      <c r="Q65" s="387">
        <f t="shared" si="15"/>
        <v>0</v>
      </c>
      <c r="R65" s="391">
        <f>R59+R64</f>
        <v>385</v>
      </c>
    </row>
    <row r="66" spans="1:18" x14ac:dyDescent="0.2">
      <c r="A66" s="402" t="s">
        <v>406</v>
      </c>
      <c r="B66" s="403"/>
      <c r="C66" s="403"/>
      <c r="D66" s="392">
        <f t="shared" ref="D66:R66" si="16">D21+D31+D48+D65</f>
        <v>10</v>
      </c>
      <c r="E66" s="393">
        <f t="shared" si="16"/>
        <v>36</v>
      </c>
      <c r="F66" s="393">
        <f t="shared" si="16"/>
        <v>47</v>
      </c>
      <c r="G66" s="393">
        <f t="shared" si="16"/>
        <v>72</v>
      </c>
      <c r="H66" s="394">
        <f>H21+H31+H48+H65</f>
        <v>235</v>
      </c>
      <c r="I66" s="395">
        <f t="shared" si="16"/>
        <v>187</v>
      </c>
      <c r="J66" s="395">
        <f t="shared" si="16"/>
        <v>226</v>
      </c>
      <c r="K66" s="395">
        <f t="shared" si="16"/>
        <v>185</v>
      </c>
      <c r="L66" s="395">
        <f t="shared" si="16"/>
        <v>259</v>
      </c>
      <c r="M66" s="395">
        <f t="shared" si="16"/>
        <v>233</v>
      </c>
      <c r="N66" s="395">
        <f t="shared" si="16"/>
        <v>138</v>
      </c>
      <c r="O66" s="395">
        <f t="shared" si="16"/>
        <v>30</v>
      </c>
      <c r="P66" s="395">
        <f t="shared" si="16"/>
        <v>1</v>
      </c>
      <c r="Q66" s="395">
        <f t="shared" si="16"/>
        <v>50</v>
      </c>
      <c r="R66" s="404">
        <f t="shared" si="16"/>
        <v>1709</v>
      </c>
    </row>
  </sheetData>
  <sheetProtection password="DB60" sheet="1" objects="1" scenarios="1"/>
  <pageMargins left="0.36" right="0.43" top="0.28000000000000003" bottom="0.26" header="0.18" footer="0.18"/>
  <pageSetup paperSize="9" scale="66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workbookViewId="0">
      <selection activeCell="F8" sqref="F8"/>
    </sheetView>
  </sheetViews>
  <sheetFormatPr defaultRowHeight="12.75" x14ac:dyDescent="0.2"/>
  <cols>
    <col min="1" max="1" width="19.140625" customWidth="1"/>
    <col min="2" max="2" width="17.5703125" customWidth="1"/>
    <col min="3" max="3" width="9.42578125" customWidth="1"/>
    <col min="8" max="19" width="9.140625" style="357"/>
  </cols>
  <sheetData>
    <row r="1" spans="1:19" x14ac:dyDescent="0.2">
      <c r="A1" s="358" t="s">
        <v>403</v>
      </c>
      <c r="B1" s="405"/>
      <c r="C1" s="406"/>
      <c r="D1" s="407"/>
      <c r="E1" s="407"/>
      <c r="F1" s="407"/>
      <c r="G1" s="407"/>
      <c r="H1" s="407"/>
      <c r="I1" s="407"/>
      <c r="J1" s="407"/>
      <c r="K1" s="356"/>
      <c r="L1" s="356"/>
      <c r="M1" s="356"/>
      <c r="N1" s="356"/>
      <c r="O1" s="356"/>
      <c r="P1" s="356"/>
      <c r="Q1" s="356"/>
      <c r="R1" s="356"/>
      <c r="S1" s="356"/>
    </row>
    <row r="2" spans="1:19" x14ac:dyDescent="0.2">
      <c r="A2" s="361"/>
      <c r="B2" s="408"/>
      <c r="C2" s="361"/>
      <c r="D2" s="362"/>
      <c r="E2" s="362"/>
      <c r="F2" s="362"/>
      <c r="G2" s="362"/>
      <c r="H2" s="409"/>
      <c r="I2" s="409"/>
      <c r="J2" s="409"/>
      <c r="K2" s="356"/>
      <c r="L2" s="356"/>
      <c r="M2" s="356"/>
      <c r="N2" s="356"/>
      <c r="O2" s="356"/>
      <c r="P2" s="356"/>
      <c r="Q2" s="356"/>
      <c r="R2" s="356"/>
      <c r="S2" s="356"/>
    </row>
    <row r="3" spans="1:19" x14ac:dyDescent="0.2">
      <c r="A3" s="410" t="s">
        <v>433</v>
      </c>
      <c r="B3" s="105"/>
      <c r="C3" s="105"/>
      <c r="D3" s="105"/>
      <c r="E3" s="105"/>
      <c r="F3" s="105"/>
      <c r="G3" s="105"/>
      <c r="H3" s="411"/>
      <c r="I3" s="411"/>
      <c r="J3" s="411"/>
    </row>
    <row r="4" spans="1:19" x14ac:dyDescent="0.2">
      <c r="A4" s="105"/>
      <c r="B4" s="105"/>
      <c r="C4" s="105"/>
      <c r="D4" s="105"/>
      <c r="E4" s="105"/>
      <c r="F4" s="105"/>
      <c r="G4" s="105"/>
      <c r="H4" s="411"/>
      <c r="I4" s="411"/>
      <c r="J4" s="411"/>
    </row>
    <row r="5" spans="1:19" x14ac:dyDescent="0.2">
      <c r="A5" s="812" t="s">
        <v>443</v>
      </c>
      <c r="B5" s="813"/>
      <c r="C5" s="412" t="s">
        <v>402</v>
      </c>
      <c r="D5" s="814" t="s">
        <v>444</v>
      </c>
      <c r="E5" s="814"/>
      <c r="F5" s="814" t="s">
        <v>184</v>
      </c>
      <c r="G5" s="814"/>
      <c r="H5" s="809" t="s">
        <v>445</v>
      </c>
      <c r="I5" s="809"/>
      <c r="J5" s="810" t="s">
        <v>446</v>
      </c>
    </row>
    <row r="6" spans="1:19" ht="13.5" thickBot="1" x14ac:dyDescent="0.25">
      <c r="A6" s="413" t="s">
        <v>434</v>
      </c>
      <c r="B6" s="413" t="s">
        <v>435</v>
      </c>
      <c r="C6" s="414" t="s">
        <v>407</v>
      </c>
      <c r="D6" s="414" t="s">
        <v>387</v>
      </c>
      <c r="E6" s="414" t="s">
        <v>388</v>
      </c>
      <c r="F6" s="414" t="s">
        <v>389</v>
      </c>
      <c r="G6" s="414" t="s">
        <v>390</v>
      </c>
      <c r="H6" s="415" t="s">
        <v>391</v>
      </c>
      <c r="I6" s="415" t="s">
        <v>392</v>
      </c>
      <c r="J6" s="811"/>
    </row>
    <row r="7" spans="1:19" x14ac:dyDescent="0.2">
      <c r="A7" s="416" t="s">
        <v>437</v>
      </c>
      <c r="B7" s="416" t="s">
        <v>438</v>
      </c>
      <c r="C7" s="417"/>
      <c r="D7" s="417"/>
      <c r="E7" s="417"/>
      <c r="F7" s="417"/>
      <c r="G7" s="417">
        <v>1</v>
      </c>
      <c r="H7" s="418"/>
      <c r="I7" s="418"/>
      <c r="J7" s="418">
        <f>SUM(C7:I7)</f>
        <v>1</v>
      </c>
    </row>
    <row r="8" spans="1:19" x14ac:dyDescent="0.2">
      <c r="A8" s="419" t="s">
        <v>436</v>
      </c>
      <c r="B8" s="419" t="s">
        <v>439</v>
      </c>
      <c r="C8" s="420">
        <v>3</v>
      </c>
      <c r="D8" s="420">
        <v>3</v>
      </c>
      <c r="E8" s="420">
        <v>11</v>
      </c>
      <c r="F8" s="420">
        <v>8</v>
      </c>
      <c r="G8" s="420">
        <v>4</v>
      </c>
      <c r="H8" s="421">
        <v>6</v>
      </c>
      <c r="I8" s="421">
        <v>2</v>
      </c>
      <c r="J8" s="421">
        <f t="shared" ref="J8:J14" si="0">SUM(C8:I8)</f>
        <v>37</v>
      </c>
    </row>
    <row r="9" spans="1:19" x14ac:dyDescent="0.2">
      <c r="A9" s="419" t="s">
        <v>440</v>
      </c>
      <c r="B9" s="419" t="s">
        <v>438</v>
      </c>
      <c r="C9" s="420">
        <v>65</v>
      </c>
      <c r="D9" s="420">
        <v>98</v>
      </c>
      <c r="E9" s="420">
        <v>147</v>
      </c>
      <c r="F9" s="420">
        <v>237</v>
      </c>
      <c r="G9" s="420">
        <v>138</v>
      </c>
      <c r="H9" s="421">
        <v>55</v>
      </c>
      <c r="I9" s="421">
        <v>77</v>
      </c>
      <c r="J9" s="421">
        <f t="shared" si="0"/>
        <v>817</v>
      </c>
    </row>
    <row r="10" spans="1:19" x14ac:dyDescent="0.2">
      <c r="A10" s="419" t="s">
        <v>440</v>
      </c>
      <c r="B10" s="419" t="s">
        <v>439</v>
      </c>
      <c r="C10" s="420">
        <v>209</v>
      </c>
      <c r="D10" s="420">
        <v>94</v>
      </c>
      <c r="E10" s="420">
        <v>76</v>
      </c>
      <c r="F10" s="420">
        <v>35</v>
      </c>
      <c r="G10" s="420">
        <v>30</v>
      </c>
      <c r="H10" s="421">
        <v>131</v>
      </c>
      <c r="I10" s="421">
        <v>105</v>
      </c>
      <c r="J10" s="421">
        <f t="shared" si="0"/>
        <v>680</v>
      </c>
    </row>
    <row r="11" spans="1:19" x14ac:dyDescent="0.2">
      <c r="A11" s="419" t="s">
        <v>441</v>
      </c>
      <c r="B11" s="419" t="s">
        <v>438</v>
      </c>
      <c r="C11" s="420"/>
      <c r="D11" s="420"/>
      <c r="E11" s="420"/>
      <c r="F11" s="420">
        <v>2</v>
      </c>
      <c r="G11" s="420">
        <v>7</v>
      </c>
      <c r="H11" s="421"/>
      <c r="I11" s="421"/>
      <c r="J11" s="421">
        <f t="shared" si="0"/>
        <v>9</v>
      </c>
    </row>
    <row r="12" spans="1:19" x14ac:dyDescent="0.2">
      <c r="A12" s="419" t="s">
        <v>441</v>
      </c>
      <c r="B12" s="419" t="s">
        <v>442</v>
      </c>
      <c r="C12" s="420">
        <v>60</v>
      </c>
      <c r="D12" s="420"/>
      <c r="E12" s="420"/>
      <c r="F12" s="420"/>
      <c r="G12" s="420"/>
      <c r="H12" s="421"/>
      <c r="I12" s="421">
        <v>1</v>
      </c>
      <c r="J12" s="421">
        <f t="shared" si="0"/>
        <v>61</v>
      </c>
    </row>
    <row r="13" spans="1:19" ht="13.5" thickBot="1" x14ac:dyDescent="0.25">
      <c r="A13" s="422" t="s">
        <v>441</v>
      </c>
      <c r="B13" s="422" t="s">
        <v>439</v>
      </c>
      <c r="C13" s="423">
        <v>15</v>
      </c>
      <c r="D13" s="423">
        <v>14</v>
      </c>
      <c r="E13" s="423">
        <v>2</v>
      </c>
      <c r="F13" s="423">
        <v>10</v>
      </c>
      <c r="G13" s="423">
        <v>51</v>
      </c>
      <c r="H13" s="424"/>
      <c r="I13" s="424">
        <v>12</v>
      </c>
      <c r="J13" s="424">
        <f t="shared" si="0"/>
        <v>104</v>
      </c>
    </row>
    <row r="14" spans="1:19" x14ac:dyDescent="0.2">
      <c r="A14" s="425" t="s">
        <v>446</v>
      </c>
      <c r="B14" s="416"/>
      <c r="C14" s="426">
        <f>SUM(C7:C13)</f>
        <v>352</v>
      </c>
      <c r="D14" s="426">
        <f t="shared" ref="D14:I14" si="1">SUM(D7:D13)</f>
        <v>209</v>
      </c>
      <c r="E14" s="426">
        <f t="shared" si="1"/>
        <v>236</v>
      </c>
      <c r="F14" s="426">
        <f t="shared" si="1"/>
        <v>292</v>
      </c>
      <c r="G14" s="426">
        <f t="shared" si="1"/>
        <v>231</v>
      </c>
      <c r="H14" s="426">
        <f t="shared" si="1"/>
        <v>192</v>
      </c>
      <c r="I14" s="426">
        <f t="shared" si="1"/>
        <v>197</v>
      </c>
      <c r="J14" s="427">
        <f t="shared" si="0"/>
        <v>1709</v>
      </c>
    </row>
  </sheetData>
  <sheetProtection password="DB60" sheet="1" objects="1" scenarios="1"/>
  <mergeCells count="5">
    <mergeCell ref="H5:I5"/>
    <mergeCell ref="J5:J6"/>
    <mergeCell ref="A5:B5"/>
    <mergeCell ref="D5:E5"/>
    <mergeCell ref="F5:G5"/>
  </mergeCells>
  <pageMargins left="0.19685039370078741" right="0.19685039370078741" top="0.78740157480314965" bottom="0.78740157480314965" header="0.31496062992125984" footer="0.31496062992125984"/>
  <pageSetup paperSize="9" scale="9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zoomScale="70" zoomScaleNormal="70" workbookViewId="0">
      <selection activeCell="F8" sqref="F8"/>
    </sheetView>
  </sheetViews>
  <sheetFormatPr defaultRowHeight="12.75" x14ac:dyDescent="0.2"/>
  <cols>
    <col min="1" max="1" width="13.28515625" customWidth="1"/>
    <col min="2" max="2" width="13" customWidth="1"/>
    <col min="3" max="3" width="18.7109375" customWidth="1"/>
    <col min="4" max="17" width="6.140625" customWidth="1"/>
  </cols>
  <sheetData>
    <row r="1" spans="1:18" x14ac:dyDescent="0.2">
      <c r="A1" s="358" t="s">
        <v>432</v>
      </c>
      <c r="B1" s="405"/>
      <c r="C1" s="406"/>
      <c r="D1" s="407"/>
      <c r="E1" s="407"/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7"/>
      <c r="Q1" s="407"/>
      <c r="R1" s="407"/>
    </row>
    <row r="2" spans="1:18" x14ac:dyDescent="0.2">
      <c r="A2" s="361"/>
      <c r="B2" s="408"/>
      <c r="C2" s="361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</row>
    <row r="3" spans="1:18" x14ac:dyDescent="0.2">
      <c r="A3" s="368" t="s">
        <v>404</v>
      </c>
      <c r="B3" s="428" t="s">
        <v>423</v>
      </c>
      <c r="C3" s="369" t="s">
        <v>424</v>
      </c>
      <c r="D3" s="429">
        <v>2002</v>
      </c>
      <c r="E3" s="430">
        <v>2003</v>
      </c>
      <c r="F3" s="430">
        <v>2004</v>
      </c>
      <c r="G3" s="430">
        <v>2005</v>
      </c>
      <c r="H3" s="430">
        <v>2006</v>
      </c>
      <c r="I3" s="431">
        <v>2007</v>
      </c>
      <c r="J3" s="431">
        <v>2008</v>
      </c>
      <c r="K3" s="431">
        <v>2009</v>
      </c>
      <c r="L3" s="431">
        <v>2010</v>
      </c>
      <c r="M3" s="431">
        <v>2011</v>
      </c>
      <c r="N3" s="431">
        <v>2012</v>
      </c>
      <c r="O3" s="431">
        <v>2013</v>
      </c>
      <c r="P3" s="431">
        <v>2014</v>
      </c>
      <c r="Q3" s="431">
        <v>2015</v>
      </c>
      <c r="R3" s="432" t="s">
        <v>3</v>
      </c>
    </row>
    <row r="4" spans="1:18" x14ac:dyDescent="0.2">
      <c r="A4" s="848" t="s">
        <v>407</v>
      </c>
      <c r="B4" s="851" t="s">
        <v>353</v>
      </c>
      <c r="C4" s="433" t="s">
        <v>408</v>
      </c>
      <c r="D4" s="434"/>
      <c r="E4" s="435"/>
      <c r="F4" s="435"/>
      <c r="G4" s="435"/>
      <c r="H4" s="435"/>
      <c r="I4" s="435"/>
      <c r="J4" s="435">
        <v>15</v>
      </c>
      <c r="K4" s="435"/>
      <c r="L4" s="435"/>
      <c r="M4" s="435"/>
      <c r="N4" s="435"/>
      <c r="O4" s="435"/>
      <c r="P4" s="435"/>
      <c r="Q4" s="436">
        <f>IF('[4]02 Coeficientes'!$B$79="SIM",'[4]Aux.4.21 Frota atual rev'!W4,'[4]Aux.4.21 Frota atual rev'!U4)</f>
        <v>0</v>
      </c>
      <c r="R4" s="436">
        <f t="shared" ref="R4:R9" si="0">SUM(D4:Q4)</f>
        <v>15</v>
      </c>
    </row>
    <row r="5" spans="1:18" x14ac:dyDescent="0.2">
      <c r="A5" s="849"/>
      <c r="B5" s="852"/>
      <c r="C5" s="437" t="s">
        <v>369</v>
      </c>
      <c r="D5" s="438"/>
      <c r="E5" s="439"/>
      <c r="F5" s="439"/>
      <c r="G5" s="439"/>
      <c r="H5" s="439"/>
      <c r="I5" s="439"/>
      <c r="J5" s="439"/>
      <c r="K5" s="439"/>
      <c r="L5" s="439">
        <v>15</v>
      </c>
      <c r="M5" s="439"/>
      <c r="N5" s="439"/>
      <c r="O5" s="439"/>
      <c r="P5" s="439"/>
      <c r="Q5" s="440">
        <f>IF('[4]02 Coeficientes'!$B$79="SIM",'[4]Aux.4.21 Frota atual rev'!W5,'[4]Aux.4.21 Frota atual rev'!U5)</f>
        <v>0</v>
      </c>
      <c r="R5" s="440">
        <f t="shared" si="0"/>
        <v>15</v>
      </c>
    </row>
    <row r="6" spans="1:18" x14ac:dyDescent="0.2">
      <c r="A6" s="849"/>
      <c r="B6" s="852"/>
      <c r="C6" s="437" t="s">
        <v>362</v>
      </c>
      <c r="D6" s="438"/>
      <c r="E6" s="439"/>
      <c r="F6" s="439"/>
      <c r="G6" s="439"/>
      <c r="H6" s="439">
        <v>35</v>
      </c>
      <c r="I6" s="439"/>
      <c r="J6" s="439"/>
      <c r="K6" s="439"/>
      <c r="L6" s="439"/>
      <c r="M6" s="439"/>
      <c r="N6" s="439"/>
      <c r="O6" s="439"/>
      <c r="P6" s="439"/>
      <c r="Q6" s="440">
        <f>IF('[4]02 Coeficientes'!$B$79="SIM",'[4]Aux.4.21 Frota atual rev'!W6,'[4]Aux.4.21 Frota atual rev'!U6)</f>
        <v>0</v>
      </c>
      <c r="R6" s="440">
        <f t="shared" si="0"/>
        <v>35</v>
      </c>
    </row>
    <row r="7" spans="1:18" x14ac:dyDescent="0.2">
      <c r="A7" s="849"/>
      <c r="B7" s="852"/>
      <c r="C7" s="437" t="s">
        <v>409</v>
      </c>
      <c r="D7" s="438"/>
      <c r="E7" s="439"/>
      <c r="F7" s="439"/>
      <c r="G7" s="439"/>
      <c r="H7" s="439"/>
      <c r="I7" s="439"/>
      <c r="J7" s="439"/>
      <c r="K7" s="439"/>
      <c r="L7" s="439"/>
      <c r="M7" s="439"/>
      <c r="N7" s="439"/>
      <c r="O7" s="439"/>
      <c r="P7" s="439"/>
      <c r="Q7" s="440">
        <f>IF('[4]02 Coeficientes'!$B$79="SIM",'[4]Aux.4.21 Frota atual rev'!W7,'[4]Aux.4.21 Frota atual rev'!U7)</f>
        <v>0</v>
      </c>
      <c r="R7" s="440">
        <f t="shared" si="0"/>
        <v>0</v>
      </c>
    </row>
    <row r="8" spans="1:18" x14ac:dyDescent="0.2">
      <c r="A8" s="849"/>
      <c r="B8" s="852"/>
      <c r="C8" s="437" t="s">
        <v>365</v>
      </c>
      <c r="D8" s="438"/>
      <c r="E8" s="439"/>
      <c r="F8" s="439"/>
      <c r="G8" s="439"/>
      <c r="H8" s="439"/>
      <c r="I8" s="439">
        <v>26</v>
      </c>
      <c r="J8" s="439">
        <v>4</v>
      </c>
      <c r="K8" s="439"/>
      <c r="L8" s="439"/>
      <c r="M8" s="439"/>
      <c r="N8" s="439"/>
      <c r="O8" s="439"/>
      <c r="P8" s="439"/>
      <c r="Q8" s="440">
        <f>IF('[4]02 Coeficientes'!$B$79="SIM",'[4]Aux.4.21 Frota atual rev'!W8,'[4]Aux.4.21 Frota atual rev'!U8)</f>
        <v>0</v>
      </c>
      <c r="R8" s="440">
        <f t="shared" si="0"/>
        <v>30</v>
      </c>
    </row>
    <row r="9" spans="1:18" x14ac:dyDescent="0.2">
      <c r="A9" s="849"/>
      <c r="B9" s="853"/>
      <c r="C9" s="437" t="s">
        <v>366</v>
      </c>
      <c r="D9" s="441"/>
      <c r="E9" s="442"/>
      <c r="F9" s="442"/>
      <c r="G9" s="442"/>
      <c r="H9" s="442"/>
      <c r="I9" s="442"/>
      <c r="J9" s="442">
        <v>49</v>
      </c>
      <c r="K9" s="442"/>
      <c r="L9" s="442"/>
      <c r="M9" s="442"/>
      <c r="N9" s="442"/>
      <c r="O9" s="442"/>
      <c r="P9" s="442"/>
      <c r="Q9" s="443">
        <f>IF('[4]02 Coeficientes'!$B$79="SIM",'[4]Aux.4.21 Frota atual rev'!W9,'[4]Aux.4.21 Frota atual rev'!U9)</f>
        <v>0</v>
      </c>
      <c r="R9" s="443">
        <f t="shared" si="0"/>
        <v>49</v>
      </c>
    </row>
    <row r="10" spans="1:18" x14ac:dyDescent="0.2">
      <c r="A10" s="849"/>
      <c r="B10" s="444" t="s">
        <v>410</v>
      </c>
      <c r="C10" s="445"/>
      <c r="D10" s="446">
        <f t="shared" ref="D10:Q10" si="1">SUM(D4:D9)</f>
        <v>0</v>
      </c>
      <c r="E10" s="446">
        <f t="shared" si="1"/>
        <v>0</v>
      </c>
      <c r="F10" s="446">
        <f t="shared" si="1"/>
        <v>0</v>
      </c>
      <c r="G10" s="446">
        <f t="shared" si="1"/>
        <v>0</v>
      </c>
      <c r="H10" s="446">
        <f t="shared" si="1"/>
        <v>35</v>
      </c>
      <c r="I10" s="446">
        <f t="shared" si="1"/>
        <v>26</v>
      </c>
      <c r="J10" s="446">
        <f t="shared" si="1"/>
        <v>68</v>
      </c>
      <c r="K10" s="446">
        <f t="shared" si="1"/>
        <v>0</v>
      </c>
      <c r="L10" s="446">
        <f t="shared" si="1"/>
        <v>15</v>
      </c>
      <c r="M10" s="446">
        <f t="shared" si="1"/>
        <v>0</v>
      </c>
      <c r="N10" s="446">
        <f t="shared" si="1"/>
        <v>0</v>
      </c>
      <c r="O10" s="446">
        <f t="shared" si="1"/>
        <v>0</v>
      </c>
      <c r="P10" s="446">
        <f t="shared" si="1"/>
        <v>0</v>
      </c>
      <c r="Q10" s="446">
        <f t="shared" si="1"/>
        <v>0</v>
      </c>
      <c r="R10" s="447">
        <f>SUM(R4:R9)</f>
        <v>144</v>
      </c>
    </row>
    <row r="11" spans="1:18" x14ac:dyDescent="0.2">
      <c r="A11" s="849"/>
      <c r="B11" s="851" t="s">
        <v>354</v>
      </c>
      <c r="C11" s="448" t="s">
        <v>408</v>
      </c>
      <c r="D11" s="434"/>
      <c r="E11" s="435"/>
      <c r="F11" s="435"/>
      <c r="G11" s="435"/>
      <c r="H11" s="435"/>
      <c r="I11" s="435"/>
      <c r="J11" s="435"/>
      <c r="K11" s="435"/>
      <c r="L11" s="435"/>
      <c r="M11" s="435"/>
      <c r="N11" s="435">
        <v>11</v>
      </c>
      <c r="O11" s="435">
        <v>2</v>
      </c>
      <c r="P11" s="435"/>
      <c r="Q11" s="436">
        <f>IF('[4]02 Coeficientes'!$B$79="SIM",'[4]Aux.4.21 Frota atual rev'!W11,'[4]Aux.4.21 Frota atual rev'!U11)</f>
        <v>32</v>
      </c>
      <c r="R11" s="449">
        <f>SUM(D11:Q11)</f>
        <v>45</v>
      </c>
    </row>
    <row r="12" spans="1:18" x14ac:dyDescent="0.2">
      <c r="A12" s="849"/>
      <c r="B12" s="852"/>
      <c r="C12" s="437" t="s">
        <v>356</v>
      </c>
      <c r="D12" s="438"/>
      <c r="E12" s="439"/>
      <c r="F12" s="439"/>
      <c r="G12" s="439"/>
      <c r="H12" s="439"/>
      <c r="I12" s="439"/>
      <c r="J12" s="439"/>
      <c r="K12" s="439">
        <v>31</v>
      </c>
      <c r="L12" s="439">
        <v>40</v>
      </c>
      <c r="M12" s="439"/>
      <c r="N12" s="439"/>
      <c r="O12" s="439"/>
      <c r="P12" s="439"/>
      <c r="Q12" s="440">
        <f>IF('[4]02 Coeficientes'!$B$79="SIM",'[4]Aux.4.21 Frota atual rev'!W12,'[4]Aux.4.21 Frota atual rev'!U12)</f>
        <v>0</v>
      </c>
      <c r="R12" s="450">
        <f>SUM(D12:Q12)</f>
        <v>71</v>
      </c>
    </row>
    <row r="13" spans="1:18" x14ac:dyDescent="0.2">
      <c r="A13" s="849"/>
      <c r="B13" s="852"/>
      <c r="C13" s="437" t="s">
        <v>352</v>
      </c>
      <c r="D13" s="438"/>
      <c r="E13" s="439"/>
      <c r="F13" s="439"/>
      <c r="G13" s="439"/>
      <c r="H13" s="439"/>
      <c r="I13" s="439"/>
      <c r="J13" s="439">
        <v>3</v>
      </c>
      <c r="K13" s="439"/>
      <c r="L13" s="439"/>
      <c r="M13" s="439"/>
      <c r="N13" s="439"/>
      <c r="O13" s="439"/>
      <c r="P13" s="439"/>
      <c r="Q13" s="440">
        <f>IF('[4]02 Coeficientes'!$B$79="SIM",'[4]Aux.4.21 Frota atual rev'!W13,'[4]Aux.4.21 Frota atual rev'!U13)</f>
        <v>0</v>
      </c>
      <c r="R13" s="450">
        <f t="shared" ref="R13:R19" si="2">SUM(D13:Q13)</f>
        <v>3</v>
      </c>
    </row>
    <row r="14" spans="1:18" x14ac:dyDescent="0.2">
      <c r="A14" s="849"/>
      <c r="B14" s="852"/>
      <c r="C14" s="437" t="s">
        <v>358</v>
      </c>
      <c r="D14" s="438"/>
      <c r="E14" s="439"/>
      <c r="F14" s="439"/>
      <c r="G14" s="439"/>
      <c r="H14" s="439"/>
      <c r="I14" s="439"/>
      <c r="J14" s="439"/>
      <c r="K14" s="439"/>
      <c r="L14" s="439">
        <v>37</v>
      </c>
      <c r="M14" s="439"/>
      <c r="N14" s="439"/>
      <c r="O14" s="439"/>
      <c r="P14" s="439"/>
      <c r="Q14" s="440">
        <f>IF('[4]02 Coeficientes'!$B$79="SIM",'[4]Aux.4.21 Frota atual rev'!W14,'[4]Aux.4.21 Frota atual rev'!U14)</f>
        <v>0</v>
      </c>
      <c r="R14" s="450">
        <f t="shared" si="2"/>
        <v>37</v>
      </c>
    </row>
    <row r="15" spans="1:18" x14ac:dyDescent="0.2">
      <c r="A15" s="849"/>
      <c r="B15" s="852"/>
      <c r="C15" s="437" t="s">
        <v>360</v>
      </c>
      <c r="D15" s="438"/>
      <c r="E15" s="439"/>
      <c r="F15" s="439"/>
      <c r="G15" s="439"/>
      <c r="H15" s="439"/>
      <c r="I15" s="439"/>
      <c r="J15" s="439"/>
      <c r="K15" s="439"/>
      <c r="L15" s="439"/>
      <c r="M15" s="439"/>
      <c r="N15" s="439">
        <v>17</v>
      </c>
      <c r="O15" s="439"/>
      <c r="P15" s="439"/>
      <c r="Q15" s="440">
        <f>IF('[4]02 Coeficientes'!$B$79="SIM",'[4]Aux.4.21 Frota atual rev'!W15,'[4]Aux.4.21 Frota atual rev'!U15)</f>
        <v>0</v>
      </c>
      <c r="R15" s="450">
        <f t="shared" si="2"/>
        <v>17</v>
      </c>
    </row>
    <row r="16" spans="1:18" x14ac:dyDescent="0.2">
      <c r="A16" s="849"/>
      <c r="B16" s="852"/>
      <c r="C16" s="437" t="s">
        <v>362</v>
      </c>
      <c r="D16" s="438"/>
      <c r="E16" s="439"/>
      <c r="F16" s="439"/>
      <c r="G16" s="439"/>
      <c r="H16" s="439"/>
      <c r="I16" s="439"/>
      <c r="J16" s="439"/>
      <c r="K16" s="439"/>
      <c r="L16" s="439"/>
      <c r="M16" s="439"/>
      <c r="N16" s="439"/>
      <c r="O16" s="439"/>
      <c r="P16" s="439"/>
      <c r="Q16" s="440">
        <f>IF('[4]02 Coeficientes'!$B$79="SIM",'[4]Aux.4.21 Frota atual rev'!W16,'[4]Aux.4.21 Frota atual rev'!U16)</f>
        <v>0</v>
      </c>
      <c r="R16" s="450">
        <f t="shared" si="2"/>
        <v>0</v>
      </c>
    </row>
    <row r="17" spans="1:18" x14ac:dyDescent="0.2">
      <c r="A17" s="849"/>
      <c r="B17" s="852"/>
      <c r="C17" s="437" t="s">
        <v>366</v>
      </c>
      <c r="D17" s="438"/>
      <c r="E17" s="439"/>
      <c r="F17" s="439"/>
      <c r="G17" s="439"/>
      <c r="H17" s="439"/>
      <c r="I17" s="439"/>
      <c r="J17" s="439"/>
      <c r="K17" s="439"/>
      <c r="L17" s="439"/>
      <c r="M17" s="439"/>
      <c r="N17" s="439"/>
      <c r="O17" s="439"/>
      <c r="P17" s="439"/>
      <c r="Q17" s="440">
        <f>IF('[4]02 Coeficientes'!$B$79="SIM",'[4]Aux.4.21 Frota atual rev'!W17,'[4]Aux.4.21 Frota atual rev'!U17)</f>
        <v>0</v>
      </c>
      <c r="R17" s="450">
        <f t="shared" si="2"/>
        <v>0</v>
      </c>
    </row>
    <row r="18" spans="1:18" x14ac:dyDescent="0.2">
      <c r="A18" s="849"/>
      <c r="B18" s="852"/>
      <c r="C18" s="437" t="s">
        <v>367</v>
      </c>
      <c r="D18" s="438"/>
      <c r="E18" s="439"/>
      <c r="F18" s="439"/>
      <c r="G18" s="439"/>
      <c r="H18" s="439"/>
      <c r="I18" s="439"/>
      <c r="J18" s="439"/>
      <c r="K18" s="439"/>
      <c r="L18" s="439"/>
      <c r="M18" s="439"/>
      <c r="N18" s="439"/>
      <c r="O18" s="439"/>
      <c r="P18" s="439"/>
      <c r="Q18" s="440">
        <f>IF('[4]02 Coeficientes'!$B$79="SIM",'[4]Aux.4.21 Frota atual rev'!W18,'[4]Aux.4.21 Frota atual rev'!U18)</f>
        <v>0</v>
      </c>
      <c r="R18" s="450">
        <f t="shared" si="2"/>
        <v>0</v>
      </c>
    </row>
    <row r="19" spans="1:18" x14ac:dyDescent="0.2">
      <c r="A19" s="849"/>
      <c r="B19" s="853"/>
      <c r="C19" s="437" t="s">
        <v>355</v>
      </c>
      <c r="D19" s="441"/>
      <c r="E19" s="442"/>
      <c r="F19" s="442"/>
      <c r="G19" s="442"/>
      <c r="H19" s="442"/>
      <c r="I19" s="442"/>
      <c r="J19" s="442"/>
      <c r="K19" s="442"/>
      <c r="L19" s="442"/>
      <c r="M19" s="442"/>
      <c r="N19" s="442"/>
      <c r="O19" s="442"/>
      <c r="P19" s="442"/>
      <c r="Q19" s="443">
        <f>IF('[4]02 Coeficientes'!$B$79="SIM",'[4]Aux.4.21 Frota atual rev'!W19,'[4]Aux.4.21 Frota atual rev'!U19)</f>
        <v>35</v>
      </c>
      <c r="R19" s="450">
        <f t="shared" si="2"/>
        <v>35</v>
      </c>
    </row>
    <row r="20" spans="1:18" x14ac:dyDescent="0.2">
      <c r="A20" s="850"/>
      <c r="B20" s="444" t="s">
        <v>411</v>
      </c>
      <c r="C20" s="451">
        <f>R20/R21</f>
        <v>0.59090909090909094</v>
      </c>
      <c r="D20" s="446">
        <f t="shared" ref="D20:R20" si="3">SUM(D11:D19)</f>
        <v>0</v>
      </c>
      <c r="E20" s="446">
        <f t="shared" si="3"/>
        <v>0</v>
      </c>
      <c r="F20" s="446">
        <f t="shared" si="3"/>
        <v>0</v>
      </c>
      <c r="G20" s="446">
        <f t="shared" si="3"/>
        <v>0</v>
      </c>
      <c r="H20" s="446">
        <f t="shared" si="3"/>
        <v>0</v>
      </c>
      <c r="I20" s="446">
        <f t="shared" si="3"/>
        <v>0</v>
      </c>
      <c r="J20" s="446">
        <f t="shared" si="3"/>
        <v>3</v>
      </c>
      <c r="K20" s="446">
        <f t="shared" si="3"/>
        <v>31</v>
      </c>
      <c r="L20" s="446">
        <f t="shared" si="3"/>
        <v>77</v>
      </c>
      <c r="M20" s="446">
        <f t="shared" si="3"/>
        <v>0</v>
      </c>
      <c r="N20" s="446">
        <f t="shared" si="3"/>
        <v>28</v>
      </c>
      <c r="O20" s="446">
        <f t="shared" si="3"/>
        <v>2</v>
      </c>
      <c r="P20" s="446">
        <f t="shared" si="3"/>
        <v>0</v>
      </c>
      <c r="Q20" s="446">
        <f t="shared" si="3"/>
        <v>67</v>
      </c>
      <c r="R20" s="452">
        <f t="shared" si="3"/>
        <v>208</v>
      </c>
    </row>
    <row r="21" spans="1:18" x14ac:dyDescent="0.2">
      <c r="A21" s="453" t="s">
        <v>412</v>
      </c>
      <c r="B21" s="454"/>
      <c r="C21" s="455"/>
      <c r="D21" s="456">
        <f t="shared" ref="D21:R21" si="4">D10+D20</f>
        <v>0</v>
      </c>
      <c r="E21" s="457">
        <f t="shared" si="4"/>
        <v>0</v>
      </c>
      <c r="F21" s="457">
        <f t="shared" si="4"/>
        <v>0</v>
      </c>
      <c r="G21" s="457">
        <f t="shared" si="4"/>
        <v>0</v>
      </c>
      <c r="H21" s="457">
        <f t="shared" si="4"/>
        <v>35</v>
      </c>
      <c r="I21" s="457">
        <f t="shared" si="4"/>
        <v>26</v>
      </c>
      <c r="J21" s="457">
        <f t="shared" si="4"/>
        <v>71</v>
      </c>
      <c r="K21" s="457">
        <f t="shared" si="4"/>
        <v>31</v>
      </c>
      <c r="L21" s="457">
        <f t="shared" si="4"/>
        <v>92</v>
      </c>
      <c r="M21" s="457">
        <f t="shared" si="4"/>
        <v>0</v>
      </c>
      <c r="N21" s="457">
        <f t="shared" si="4"/>
        <v>28</v>
      </c>
      <c r="O21" s="457">
        <f t="shared" si="4"/>
        <v>2</v>
      </c>
      <c r="P21" s="457">
        <f t="shared" si="4"/>
        <v>0</v>
      </c>
      <c r="Q21" s="457">
        <f t="shared" si="4"/>
        <v>67</v>
      </c>
      <c r="R21" s="452">
        <f t="shared" si="4"/>
        <v>352</v>
      </c>
    </row>
    <row r="22" spans="1:18" x14ac:dyDescent="0.2">
      <c r="A22" s="854" t="s">
        <v>387</v>
      </c>
      <c r="B22" s="857" t="s">
        <v>353</v>
      </c>
      <c r="C22" s="458" t="s">
        <v>369</v>
      </c>
      <c r="D22" s="459"/>
      <c r="E22" s="460"/>
      <c r="F22" s="460"/>
      <c r="G22" s="460"/>
      <c r="H22" s="460"/>
      <c r="I22" s="460"/>
      <c r="J22" s="460"/>
      <c r="K22" s="460"/>
      <c r="L22" s="460"/>
      <c r="M22" s="460"/>
      <c r="N22" s="460">
        <v>3</v>
      </c>
      <c r="O22" s="460">
        <v>3</v>
      </c>
      <c r="P22" s="460"/>
      <c r="Q22" s="461">
        <f>IF('[4]02 Coeficientes'!$B$79="SIM",'[4]Aux.4.21 Frota atual rev'!W22,'[4]Aux.4.21 Frota atual rev'!U22)</f>
        <v>0</v>
      </c>
      <c r="R22" s="462">
        <f>SUM(D22:Q22)</f>
        <v>6</v>
      </c>
    </row>
    <row r="23" spans="1:18" x14ac:dyDescent="0.2">
      <c r="A23" s="855"/>
      <c r="B23" s="858"/>
      <c r="C23" s="463" t="s">
        <v>359</v>
      </c>
      <c r="D23" s="464"/>
      <c r="E23" s="465"/>
      <c r="F23" s="465"/>
      <c r="G23" s="465"/>
      <c r="H23" s="465"/>
      <c r="I23" s="465"/>
      <c r="J23" s="465">
        <v>5</v>
      </c>
      <c r="K23" s="465">
        <v>25</v>
      </c>
      <c r="L23" s="465">
        <v>10</v>
      </c>
      <c r="M23" s="465">
        <v>13</v>
      </c>
      <c r="N23" s="465">
        <v>5</v>
      </c>
      <c r="O23" s="465"/>
      <c r="P23" s="465"/>
      <c r="Q23" s="466">
        <f>IF('[4]02 Coeficientes'!$B$79="SIM",'[4]Aux.4.21 Frota atual rev'!W23,'[4]Aux.4.21 Frota atual rev'!U23)</f>
        <v>0</v>
      </c>
      <c r="R23" s="467">
        <f>SUM(D23:Q23)</f>
        <v>58</v>
      </c>
    </row>
    <row r="24" spans="1:18" x14ac:dyDescent="0.2">
      <c r="A24" s="855"/>
      <c r="B24" s="858"/>
      <c r="C24" s="463" t="s">
        <v>362</v>
      </c>
      <c r="D24" s="464"/>
      <c r="E24" s="465"/>
      <c r="F24" s="465"/>
      <c r="G24" s="465"/>
      <c r="H24" s="465">
        <v>13</v>
      </c>
      <c r="I24" s="465">
        <v>20</v>
      </c>
      <c r="J24" s="465">
        <v>10</v>
      </c>
      <c r="K24" s="465">
        <v>6</v>
      </c>
      <c r="L24" s="465">
        <v>11</v>
      </c>
      <c r="M24" s="465">
        <v>16</v>
      </c>
      <c r="N24" s="465">
        <v>7</v>
      </c>
      <c r="O24" s="465">
        <v>3</v>
      </c>
      <c r="P24" s="465"/>
      <c r="Q24" s="466">
        <f>IF('[4]02 Coeficientes'!$B$79="SIM",'[4]Aux.4.21 Frota atual rev'!W24,'[4]Aux.4.21 Frota atual rev'!U24)</f>
        <v>0</v>
      </c>
      <c r="R24" s="467">
        <f>SUM(D24:Q24)</f>
        <v>86</v>
      </c>
    </row>
    <row r="25" spans="1:18" x14ac:dyDescent="0.2">
      <c r="A25" s="855"/>
      <c r="B25" s="858"/>
      <c r="C25" s="468" t="s">
        <v>413</v>
      </c>
      <c r="D25" s="464"/>
      <c r="E25" s="465"/>
      <c r="F25" s="465"/>
      <c r="G25" s="465"/>
      <c r="H25" s="465"/>
      <c r="I25" s="465">
        <v>3</v>
      </c>
      <c r="J25" s="465"/>
      <c r="K25" s="465"/>
      <c r="L25" s="465"/>
      <c r="M25" s="465"/>
      <c r="N25" s="465"/>
      <c r="O25" s="465"/>
      <c r="P25" s="465"/>
      <c r="Q25" s="466">
        <f>IF('[4]02 Coeficientes'!$B$79="SIM",'[4]Aux.4.21 Frota atual rev'!W25,'[4]Aux.4.21 Frota atual rev'!U25)</f>
        <v>0</v>
      </c>
      <c r="R25" s="467">
        <f>SUM(D25:Q25)</f>
        <v>3</v>
      </c>
    </row>
    <row r="26" spans="1:18" x14ac:dyDescent="0.2">
      <c r="A26" s="855"/>
      <c r="B26" s="859"/>
      <c r="C26" s="463" t="s">
        <v>364</v>
      </c>
      <c r="D26" s="469"/>
      <c r="E26" s="470"/>
      <c r="F26" s="470"/>
      <c r="G26" s="470"/>
      <c r="H26" s="470"/>
      <c r="I26" s="470"/>
      <c r="J26" s="470"/>
      <c r="K26" s="470"/>
      <c r="L26" s="470"/>
      <c r="M26" s="470"/>
      <c r="N26" s="470"/>
      <c r="O26" s="470"/>
      <c r="P26" s="470"/>
      <c r="Q26" s="471">
        <f>IF('[4]02 Coeficientes'!$B$79="SIM",'[4]Aux.4.21 Frota atual rev'!W26,'[4]Aux.4.21 Frota atual rev'!U26)</f>
        <v>0</v>
      </c>
      <c r="R26" s="467">
        <f>SUM(D26:Q26)</f>
        <v>0</v>
      </c>
    </row>
    <row r="27" spans="1:18" x14ac:dyDescent="0.2">
      <c r="A27" s="855"/>
      <c r="B27" s="472" t="s">
        <v>410</v>
      </c>
      <c r="C27" s="473"/>
      <c r="D27" s="474">
        <f t="shared" ref="D27:M27" si="5">SUM(D22:D26)</f>
        <v>0</v>
      </c>
      <c r="E27" s="474">
        <f t="shared" si="5"/>
        <v>0</v>
      </c>
      <c r="F27" s="474">
        <f t="shared" si="5"/>
        <v>0</v>
      </c>
      <c r="G27" s="474">
        <f t="shared" si="5"/>
        <v>0</v>
      </c>
      <c r="H27" s="474">
        <f t="shared" si="5"/>
        <v>13</v>
      </c>
      <c r="I27" s="474">
        <f t="shared" si="5"/>
        <v>23</v>
      </c>
      <c r="J27" s="474">
        <f t="shared" si="5"/>
        <v>15</v>
      </c>
      <c r="K27" s="474">
        <f t="shared" si="5"/>
        <v>31</v>
      </c>
      <c r="L27" s="474">
        <f t="shared" si="5"/>
        <v>21</v>
      </c>
      <c r="M27" s="474">
        <f t="shared" si="5"/>
        <v>29</v>
      </c>
      <c r="N27" s="474">
        <f>SUM(N22:N26)</f>
        <v>15</v>
      </c>
      <c r="O27" s="474">
        <f t="shared" ref="O27:P27" si="6">SUM(O22:O26)</f>
        <v>6</v>
      </c>
      <c r="P27" s="474">
        <f t="shared" si="6"/>
        <v>0</v>
      </c>
      <c r="Q27" s="474">
        <f>SUM(Q22:Q26)</f>
        <v>0</v>
      </c>
      <c r="R27" s="475">
        <f>SUM(R22:R26)</f>
        <v>153</v>
      </c>
    </row>
    <row r="28" spans="1:18" x14ac:dyDescent="0.2">
      <c r="A28" s="855"/>
      <c r="B28" s="860" t="s">
        <v>354</v>
      </c>
      <c r="C28" s="463" t="s">
        <v>369</v>
      </c>
      <c r="D28" s="459"/>
      <c r="E28" s="460"/>
      <c r="F28" s="460"/>
      <c r="G28" s="460"/>
      <c r="H28" s="460"/>
      <c r="I28" s="460"/>
      <c r="J28" s="460"/>
      <c r="K28" s="460"/>
      <c r="L28" s="460"/>
      <c r="M28" s="460"/>
      <c r="N28" s="460"/>
      <c r="O28" s="460">
        <v>1</v>
      </c>
      <c r="P28" s="460"/>
      <c r="Q28" s="461">
        <f>IF('[4]02 Coeficientes'!$B$79="SIM",'[4]Aux.4.21 Frota atual rev'!W28,'[4]Aux.4.21 Frota atual rev'!U28)</f>
        <v>7</v>
      </c>
      <c r="R28" s="476">
        <f>SUM(D28:Q28)</f>
        <v>8</v>
      </c>
    </row>
    <row r="29" spans="1:18" x14ac:dyDescent="0.2">
      <c r="A29" s="855"/>
      <c r="B29" s="858"/>
      <c r="C29" s="468" t="s">
        <v>362</v>
      </c>
      <c r="D29" s="464"/>
      <c r="E29" s="465"/>
      <c r="F29" s="465"/>
      <c r="G29" s="465"/>
      <c r="H29" s="465"/>
      <c r="I29" s="465"/>
      <c r="J29" s="465"/>
      <c r="K29" s="465"/>
      <c r="L29" s="465"/>
      <c r="M29" s="465"/>
      <c r="N29" s="465"/>
      <c r="O29" s="465"/>
      <c r="P29" s="465"/>
      <c r="Q29" s="466">
        <f>IF('[4]02 Coeficientes'!$B$79="SIM",'[4]Aux.4.21 Frota atual rev'!W29,'[4]Aux.4.21 Frota atual rev'!U29)</f>
        <v>12</v>
      </c>
      <c r="R29" s="477">
        <f t="shared" ref="R29:R30" si="7">SUM(D29:Q29)</f>
        <v>12</v>
      </c>
    </row>
    <row r="30" spans="1:18" x14ac:dyDescent="0.2">
      <c r="A30" s="855"/>
      <c r="B30" s="859"/>
      <c r="C30" s="463" t="s">
        <v>359</v>
      </c>
      <c r="D30" s="469"/>
      <c r="E30" s="470"/>
      <c r="F30" s="470"/>
      <c r="G30" s="470"/>
      <c r="H30" s="470"/>
      <c r="I30" s="470">
        <v>1</v>
      </c>
      <c r="J30" s="470">
        <v>7</v>
      </c>
      <c r="K30" s="470"/>
      <c r="L30" s="470">
        <v>3</v>
      </c>
      <c r="M30" s="470">
        <v>4</v>
      </c>
      <c r="N30" s="470">
        <v>2</v>
      </c>
      <c r="O30" s="470">
        <v>6</v>
      </c>
      <c r="P30" s="470"/>
      <c r="Q30" s="471">
        <f>IF('[4]02 Coeficientes'!$B$79="SIM",'[4]Aux.4.21 Frota atual rev'!W30,'[4]Aux.4.21 Frota atual rev'!U30)</f>
        <v>13</v>
      </c>
      <c r="R30" s="478">
        <f t="shared" si="7"/>
        <v>36</v>
      </c>
    </row>
    <row r="31" spans="1:18" x14ac:dyDescent="0.2">
      <c r="A31" s="856"/>
      <c r="B31" s="472" t="s">
        <v>411</v>
      </c>
      <c r="C31" s="479">
        <f>R31/R32</f>
        <v>0.26794258373205743</v>
      </c>
      <c r="D31" s="480">
        <f>SUM(D28:D30)</f>
        <v>0</v>
      </c>
      <c r="E31" s="481">
        <f>SUM(E28:E30)</f>
        <v>0</v>
      </c>
      <c r="F31" s="481">
        <f>SUM(F28:F30)</f>
        <v>0</v>
      </c>
      <c r="G31" s="481">
        <f>SUM(G28:G30)</f>
        <v>0</v>
      </c>
      <c r="H31" s="481">
        <f>SUM(H28:H30)</f>
        <v>0</v>
      </c>
      <c r="I31" s="481">
        <f t="shared" ref="I31:P31" si="8">SUM(I28:I30)</f>
        <v>1</v>
      </c>
      <c r="J31" s="481">
        <f t="shared" si="8"/>
        <v>7</v>
      </c>
      <c r="K31" s="481">
        <f t="shared" si="8"/>
        <v>0</v>
      </c>
      <c r="L31" s="481">
        <f t="shared" si="8"/>
        <v>3</v>
      </c>
      <c r="M31" s="481">
        <f t="shared" si="8"/>
        <v>4</v>
      </c>
      <c r="N31" s="481">
        <f t="shared" si="8"/>
        <v>2</v>
      </c>
      <c r="O31" s="481">
        <f t="shared" si="8"/>
        <v>7</v>
      </c>
      <c r="P31" s="481">
        <f t="shared" si="8"/>
        <v>0</v>
      </c>
      <c r="Q31" s="482">
        <f>SUM(Q28:Q30)</f>
        <v>32</v>
      </c>
      <c r="R31" s="483">
        <f>SUM(R28:R30)</f>
        <v>56</v>
      </c>
    </row>
    <row r="32" spans="1:18" x14ac:dyDescent="0.2">
      <c r="A32" s="484" t="s">
        <v>425</v>
      </c>
      <c r="B32" s="485"/>
      <c r="C32" s="486"/>
      <c r="D32" s="487">
        <f t="shared" ref="D32:M32" si="9">D27+D31</f>
        <v>0</v>
      </c>
      <c r="E32" s="474">
        <f t="shared" si="9"/>
        <v>0</v>
      </c>
      <c r="F32" s="474">
        <f t="shared" si="9"/>
        <v>0</v>
      </c>
      <c r="G32" s="474">
        <f t="shared" si="9"/>
        <v>0</v>
      </c>
      <c r="H32" s="474">
        <f t="shared" si="9"/>
        <v>13</v>
      </c>
      <c r="I32" s="474">
        <f t="shared" si="9"/>
        <v>24</v>
      </c>
      <c r="J32" s="474">
        <f t="shared" si="9"/>
        <v>22</v>
      </c>
      <c r="K32" s="474">
        <f t="shared" si="9"/>
        <v>31</v>
      </c>
      <c r="L32" s="474">
        <f t="shared" si="9"/>
        <v>24</v>
      </c>
      <c r="M32" s="474">
        <f t="shared" si="9"/>
        <v>33</v>
      </c>
      <c r="N32" s="474">
        <f>N27+N31</f>
        <v>17</v>
      </c>
      <c r="O32" s="474">
        <f>O27+O31</f>
        <v>13</v>
      </c>
      <c r="P32" s="474">
        <f t="shared" ref="P32:Q32" si="10">P27+P31</f>
        <v>0</v>
      </c>
      <c r="Q32" s="474">
        <f t="shared" si="10"/>
        <v>32</v>
      </c>
      <c r="R32" s="488">
        <f>R27+R31</f>
        <v>209</v>
      </c>
    </row>
    <row r="33" spans="1:18" x14ac:dyDescent="0.2">
      <c r="A33" s="835" t="s">
        <v>388</v>
      </c>
      <c r="B33" s="838" t="s">
        <v>353</v>
      </c>
      <c r="C33" s="489" t="s">
        <v>369</v>
      </c>
      <c r="D33" s="490"/>
      <c r="E33" s="491"/>
      <c r="F33" s="491"/>
      <c r="G33" s="491"/>
      <c r="H33" s="491"/>
      <c r="I33" s="491"/>
      <c r="J33" s="491"/>
      <c r="K33" s="491"/>
      <c r="L33" s="491"/>
      <c r="M33" s="491"/>
      <c r="N33" s="491"/>
      <c r="O33" s="491"/>
      <c r="P33" s="491"/>
      <c r="Q33" s="492">
        <f>IF('[4]02 Coeficientes'!$B$79="SIM",'[4]Aux.4.21 Frota atual rev'!W33,'[4]Aux.4.21 Frota atual rev'!U33)</f>
        <v>0</v>
      </c>
      <c r="R33" s="493">
        <f>SUM(D33:Q33)</f>
        <v>0</v>
      </c>
    </row>
    <row r="34" spans="1:18" x14ac:dyDescent="0.2">
      <c r="A34" s="836"/>
      <c r="B34" s="839"/>
      <c r="C34" s="494" t="s">
        <v>359</v>
      </c>
      <c r="D34" s="495"/>
      <c r="E34" s="496"/>
      <c r="F34" s="496"/>
      <c r="G34" s="496"/>
      <c r="H34" s="496"/>
      <c r="I34" s="496"/>
      <c r="J34" s="496">
        <v>4</v>
      </c>
      <c r="K34" s="496">
        <v>15</v>
      </c>
      <c r="L34" s="496">
        <v>10</v>
      </c>
      <c r="M34" s="496">
        <v>10</v>
      </c>
      <c r="N34" s="496">
        <v>4</v>
      </c>
      <c r="O34" s="496">
        <v>1</v>
      </c>
      <c r="P34" s="496"/>
      <c r="Q34" s="497">
        <f>IF('[4]02 Coeficientes'!$B$79="SIM",'[4]Aux.4.21 Frota atual rev'!W34,'[4]Aux.4.21 Frota atual rev'!U34)</f>
        <v>0</v>
      </c>
      <c r="R34" s="498">
        <f>SUM(D34:Q34)</f>
        <v>44</v>
      </c>
    </row>
    <row r="35" spans="1:18" x14ac:dyDescent="0.2">
      <c r="A35" s="836"/>
      <c r="B35" s="839"/>
      <c r="C35" s="494" t="s">
        <v>362</v>
      </c>
      <c r="D35" s="495"/>
      <c r="E35" s="496"/>
      <c r="F35" s="496"/>
      <c r="G35" s="496"/>
      <c r="H35" s="496">
        <v>12</v>
      </c>
      <c r="I35" s="496">
        <v>31</v>
      </c>
      <c r="J35" s="496">
        <v>14</v>
      </c>
      <c r="K35" s="496">
        <v>8</v>
      </c>
      <c r="L35" s="496">
        <v>15</v>
      </c>
      <c r="M35" s="496">
        <v>24</v>
      </c>
      <c r="N35" s="496">
        <v>11</v>
      </c>
      <c r="O35" s="496">
        <v>4</v>
      </c>
      <c r="P35" s="496"/>
      <c r="Q35" s="497">
        <f>IF('[4]02 Coeficientes'!$B$79="SIM",'[4]Aux.4.21 Frota atual rev'!W35,'[4]Aux.4.21 Frota atual rev'!U35)</f>
        <v>0</v>
      </c>
      <c r="R35" s="498">
        <f>SUM(D35:Q35)</f>
        <v>119</v>
      </c>
    </row>
    <row r="36" spans="1:18" x14ac:dyDescent="0.2">
      <c r="A36" s="836"/>
      <c r="B36" s="839"/>
      <c r="C36" s="499" t="s">
        <v>413</v>
      </c>
      <c r="D36" s="495"/>
      <c r="E36" s="496"/>
      <c r="F36" s="496"/>
      <c r="G36" s="496"/>
      <c r="H36" s="496"/>
      <c r="I36" s="496">
        <v>11</v>
      </c>
      <c r="J36" s="496"/>
      <c r="K36" s="496"/>
      <c r="L36" s="496"/>
      <c r="M36" s="496"/>
      <c r="N36" s="496"/>
      <c r="O36" s="496"/>
      <c r="P36" s="496"/>
      <c r="Q36" s="497">
        <f>IF('[4]02 Coeficientes'!$B$79="SIM",'[4]Aux.4.21 Frota atual rev'!W36,'[4]Aux.4.21 Frota atual rev'!U36)</f>
        <v>0</v>
      </c>
      <c r="R36" s="498">
        <f>SUM(D36:Q36)</f>
        <v>11</v>
      </c>
    </row>
    <row r="37" spans="1:18" x14ac:dyDescent="0.2">
      <c r="A37" s="836"/>
      <c r="B37" s="840"/>
      <c r="C37" s="494" t="s">
        <v>364</v>
      </c>
      <c r="D37" s="500"/>
      <c r="E37" s="501"/>
      <c r="F37" s="501"/>
      <c r="G37" s="501"/>
      <c r="H37" s="501"/>
      <c r="I37" s="501"/>
      <c r="J37" s="501"/>
      <c r="K37" s="501">
        <v>1</v>
      </c>
      <c r="L37" s="501"/>
      <c r="M37" s="501"/>
      <c r="N37" s="501"/>
      <c r="O37" s="501"/>
      <c r="P37" s="501"/>
      <c r="Q37" s="502">
        <f>IF('[4]02 Coeficientes'!$B$79="SIM",'[4]Aux.4.21 Frota atual rev'!W37,'[4]Aux.4.21 Frota atual rev'!U37)</f>
        <v>0</v>
      </c>
      <c r="R37" s="498">
        <f>SUM(D37:Q37)</f>
        <v>1</v>
      </c>
    </row>
    <row r="38" spans="1:18" x14ac:dyDescent="0.2">
      <c r="A38" s="836"/>
      <c r="B38" s="503" t="s">
        <v>410</v>
      </c>
      <c r="C38" s="504"/>
      <c r="D38" s="505">
        <f t="shared" ref="D38:M38" si="11">SUM(D33:D37)</f>
        <v>0</v>
      </c>
      <c r="E38" s="505">
        <f t="shared" si="11"/>
        <v>0</v>
      </c>
      <c r="F38" s="505">
        <f t="shared" si="11"/>
        <v>0</v>
      </c>
      <c r="G38" s="505">
        <f t="shared" si="11"/>
        <v>0</v>
      </c>
      <c r="H38" s="505">
        <f t="shared" si="11"/>
        <v>12</v>
      </c>
      <c r="I38" s="505">
        <f t="shared" si="11"/>
        <v>42</v>
      </c>
      <c r="J38" s="505">
        <f t="shared" si="11"/>
        <v>18</v>
      </c>
      <c r="K38" s="505">
        <f t="shared" si="11"/>
        <v>24</v>
      </c>
      <c r="L38" s="505">
        <f t="shared" si="11"/>
        <v>25</v>
      </c>
      <c r="M38" s="505">
        <f t="shared" si="11"/>
        <v>34</v>
      </c>
      <c r="N38" s="505">
        <f>SUM(N33:N37)</f>
        <v>15</v>
      </c>
      <c r="O38" s="505">
        <f t="shared" ref="O38:P38" si="12">SUM(O33:O37)</f>
        <v>5</v>
      </c>
      <c r="P38" s="505">
        <f t="shared" si="12"/>
        <v>0</v>
      </c>
      <c r="Q38" s="505">
        <f>SUM(Q33:Q37)</f>
        <v>0</v>
      </c>
      <c r="R38" s="506">
        <f>SUM(R33:R37)</f>
        <v>175</v>
      </c>
    </row>
    <row r="39" spans="1:18" x14ac:dyDescent="0.2">
      <c r="A39" s="836"/>
      <c r="B39" s="841" t="s">
        <v>354</v>
      </c>
      <c r="C39" s="494" t="s">
        <v>369</v>
      </c>
      <c r="D39" s="490"/>
      <c r="E39" s="491"/>
      <c r="F39" s="491"/>
      <c r="G39" s="491"/>
      <c r="H39" s="491"/>
      <c r="I39" s="491"/>
      <c r="J39" s="491"/>
      <c r="K39" s="491"/>
      <c r="L39" s="491"/>
      <c r="M39" s="491"/>
      <c r="N39" s="491">
        <v>1</v>
      </c>
      <c r="O39" s="491"/>
      <c r="P39" s="491"/>
      <c r="Q39" s="492">
        <f>IF('[4]02 Coeficientes'!$B$79="SIM",'[4]Aux.4.21 Frota atual rev'!W39,'[4]Aux.4.21 Frota atual rev'!U39)</f>
        <v>1</v>
      </c>
      <c r="R39" s="507">
        <f>SUM(D39:Q39)</f>
        <v>2</v>
      </c>
    </row>
    <row r="40" spans="1:18" x14ac:dyDescent="0.2">
      <c r="A40" s="836"/>
      <c r="B40" s="839"/>
      <c r="C40" s="499" t="s">
        <v>362</v>
      </c>
      <c r="D40" s="495"/>
      <c r="E40" s="496"/>
      <c r="F40" s="496"/>
      <c r="G40" s="496"/>
      <c r="H40" s="496"/>
      <c r="I40" s="496"/>
      <c r="J40" s="496"/>
      <c r="K40" s="496"/>
      <c r="L40" s="496"/>
      <c r="M40" s="496"/>
      <c r="N40" s="496"/>
      <c r="O40" s="496"/>
      <c r="P40" s="496"/>
      <c r="Q40" s="497">
        <f>IF('[4]02 Coeficientes'!$B$79="SIM",'[4]Aux.4.21 Frota atual rev'!W40,'[4]Aux.4.21 Frota atual rev'!U40)</f>
        <v>28</v>
      </c>
      <c r="R40" s="508">
        <f t="shared" ref="R40:R41" si="13">SUM(D40:Q40)</f>
        <v>28</v>
      </c>
    </row>
    <row r="41" spans="1:18" x14ac:dyDescent="0.2">
      <c r="A41" s="836"/>
      <c r="B41" s="840"/>
      <c r="C41" s="494" t="s">
        <v>359</v>
      </c>
      <c r="D41" s="500"/>
      <c r="E41" s="501"/>
      <c r="F41" s="501"/>
      <c r="G41" s="501"/>
      <c r="H41" s="501"/>
      <c r="I41" s="501"/>
      <c r="J41" s="501">
        <v>6</v>
      </c>
      <c r="K41" s="501"/>
      <c r="L41" s="501">
        <v>3</v>
      </c>
      <c r="M41" s="501">
        <v>3</v>
      </c>
      <c r="N41" s="501">
        <v>1</v>
      </c>
      <c r="O41" s="501">
        <v>5</v>
      </c>
      <c r="P41" s="501"/>
      <c r="Q41" s="502">
        <f>IF('[4]02 Coeficientes'!$B$79="SIM",'[4]Aux.4.21 Frota atual rev'!W41,'[4]Aux.4.21 Frota atual rev'!U41)</f>
        <v>13</v>
      </c>
      <c r="R41" s="509">
        <f t="shared" si="13"/>
        <v>31</v>
      </c>
    </row>
    <row r="42" spans="1:18" x14ac:dyDescent="0.2">
      <c r="A42" s="837"/>
      <c r="B42" s="503" t="s">
        <v>411</v>
      </c>
      <c r="C42" s="510">
        <f>R42/R43</f>
        <v>0.25847457627118642</v>
      </c>
      <c r="D42" s="511">
        <f>SUM(D39:D41)</f>
        <v>0</v>
      </c>
      <c r="E42" s="512">
        <f>SUM(E39:E41)</f>
        <v>0</v>
      </c>
      <c r="F42" s="512">
        <f>SUM(F39:F41)</f>
        <v>0</v>
      </c>
      <c r="G42" s="512">
        <f>SUM(G39:G41)</f>
        <v>0</v>
      </c>
      <c r="H42" s="512">
        <f>SUM(H39:H41)</f>
        <v>0</v>
      </c>
      <c r="I42" s="512">
        <f t="shared" ref="I42:P42" si="14">SUM(I39:I41)</f>
        <v>0</v>
      </c>
      <c r="J42" s="512">
        <f t="shared" si="14"/>
        <v>6</v>
      </c>
      <c r="K42" s="512">
        <f t="shared" si="14"/>
        <v>0</v>
      </c>
      <c r="L42" s="512">
        <f t="shared" si="14"/>
        <v>3</v>
      </c>
      <c r="M42" s="512">
        <f t="shared" si="14"/>
        <v>3</v>
      </c>
      <c r="N42" s="512">
        <f t="shared" si="14"/>
        <v>2</v>
      </c>
      <c r="O42" s="512">
        <f t="shared" si="14"/>
        <v>5</v>
      </c>
      <c r="P42" s="512">
        <f t="shared" si="14"/>
        <v>0</v>
      </c>
      <c r="Q42" s="513">
        <f>SUM(Q39:Q41)</f>
        <v>42</v>
      </c>
      <c r="R42" s="514">
        <f>SUM(R39:R41)</f>
        <v>61</v>
      </c>
    </row>
    <row r="43" spans="1:18" x14ac:dyDescent="0.2">
      <c r="A43" s="515" t="s">
        <v>426</v>
      </c>
      <c r="B43" s="516"/>
      <c r="C43" s="517"/>
      <c r="D43" s="518">
        <f t="shared" ref="D43:M43" si="15">D38+D42</f>
        <v>0</v>
      </c>
      <c r="E43" s="505">
        <f t="shared" si="15"/>
        <v>0</v>
      </c>
      <c r="F43" s="505">
        <f t="shared" si="15"/>
        <v>0</v>
      </c>
      <c r="G43" s="505">
        <f t="shared" si="15"/>
        <v>0</v>
      </c>
      <c r="H43" s="505">
        <f t="shared" si="15"/>
        <v>12</v>
      </c>
      <c r="I43" s="505">
        <f t="shared" si="15"/>
        <v>42</v>
      </c>
      <c r="J43" s="505">
        <f t="shared" si="15"/>
        <v>24</v>
      </c>
      <c r="K43" s="505">
        <f t="shared" si="15"/>
        <v>24</v>
      </c>
      <c r="L43" s="505">
        <f t="shared" si="15"/>
        <v>28</v>
      </c>
      <c r="M43" s="505">
        <f t="shared" si="15"/>
        <v>37</v>
      </c>
      <c r="N43" s="505">
        <f>N38+N42</f>
        <v>17</v>
      </c>
      <c r="O43" s="505">
        <f>O38+O42</f>
        <v>10</v>
      </c>
      <c r="P43" s="505">
        <f t="shared" ref="P43:Q43" si="16">P38+P42</f>
        <v>0</v>
      </c>
      <c r="Q43" s="505">
        <f t="shared" si="16"/>
        <v>42</v>
      </c>
      <c r="R43" s="519">
        <f>R38+R42</f>
        <v>236</v>
      </c>
    </row>
    <row r="44" spans="1:18" x14ac:dyDescent="0.2">
      <c r="A44" s="842" t="s">
        <v>389</v>
      </c>
      <c r="B44" s="845" t="s">
        <v>353</v>
      </c>
      <c r="C44" s="520" t="s">
        <v>350</v>
      </c>
      <c r="D44" s="521"/>
      <c r="E44" s="522"/>
      <c r="F44" s="522"/>
      <c r="G44" s="522"/>
      <c r="H44" s="522"/>
      <c r="I44" s="522"/>
      <c r="J44" s="522"/>
      <c r="K44" s="522"/>
      <c r="L44" s="522"/>
      <c r="M44" s="522"/>
      <c r="N44" s="522"/>
      <c r="O44" s="522"/>
      <c r="P44" s="522"/>
      <c r="Q44" s="523">
        <f>IF('[4]02 Coeficientes'!$B$79="SIM",'[4]Aux.4.21 Frota atual rev'!W44,'[4]Aux.4.21 Frota atual rev'!U44)</f>
        <v>0</v>
      </c>
      <c r="R44" s="524">
        <f>SUM(D44:Q44)</f>
        <v>0</v>
      </c>
    </row>
    <row r="45" spans="1:18" x14ac:dyDescent="0.2">
      <c r="A45" s="843"/>
      <c r="B45" s="846"/>
      <c r="C45" s="525" t="s">
        <v>369</v>
      </c>
      <c r="D45" s="526"/>
      <c r="E45" s="527"/>
      <c r="F45" s="527"/>
      <c r="G45" s="527"/>
      <c r="H45" s="527"/>
      <c r="I45" s="527"/>
      <c r="J45" s="527"/>
      <c r="K45" s="527"/>
      <c r="L45" s="527">
        <v>5</v>
      </c>
      <c r="M45" s="527"/>
      <c r="N45" s="527"/>
      <c r="O45" s="527"/>
      <c r="P45" s="527"/>
      <c r="Q45" s="528">
        <f>IF('[4]02 Coeficientes'!$B$79="SIM",'[4]Aux.4.21 Frota atual rev'!W45,'[4]Aux.4.21 Frota atual rev'!U45)</f>
        <v>0</v>
      </c>
      <c r="R45" s="529">
        <f>SUM(D45:Q45)</f>
        <v>5</v>
      </c>
    </row>
    <row r="46" spans="1:18" x14ac:dyDescent="0.2">
      <c r="A46" s="843"/>
      <c r="B46" s="846"/>
      <c r="C46" s="525" t="s">
        <v>359</v>
      </c>
      <c r="D46" s="526"/>
      <c r="E46" s="527"/>
      <c r="F46" s="527"/>
      <c r="G46" s="527"/>
      <c r="H46" s="527"/>
      <c r="I46" s="527"/>
      <c r="J46" s="527"/>
      <c r="K46" s="527"/>
      <c r="L46" s="527"/>
      <c r="M46" s="527"/>
      <c r="N46" s="527"/>
      <c r="O46" s="527"/>
      <c r="P46" s="527"/>
      <c r="Q46" s="528">
        <f>IF('[4]02 Coeficientes'!$B$79="SIM",'[4]Aux.4.21 Frota atual rev'!W46,'[4]Aux.4.21 Frota atual rev'!U46)</f>
        <v>18</v>
      </c>
      <c r="R46" s="529">
        <f t="shared" ref="R46:R53" si="17">SUM(D46:Q46)</f>
        <v>18</v>
      </c>
    </row>
    <row r="47" spans="1:18" x14ac:dyDescent="0.2">
      <c r="A47" s="843"/>
      <c r="B47" s="846"/>
      <c r="C47" s="525" t="s">
        <v>360</v>
      </c>
      <c r="D47" s="526"/>
      <c r="E47" s="527"/>
      <c r="F47" s="527"/>
      <c r="G47" s="527"/>
      <c r="H47" s="527"/>
      <c r="I47" s="527"/>
      <c r="J47" s="527"/>
      <c r="K47" s="527"/>
      <c r="L47" s="527"/>
      <c r="M47" s="527"/>
      <c r="N47" s="527">
        <v>8</v>
      </c>
      <c r="O47" s="527"/>
      <c r="P47" s="527"/>
      <c r="Q47" s="528">
        <f>IF('[4]02 Coeficientes'!$B$79="SIM",'[4]Aux.4.21 Frota atual rev'!W47,'[4]Aux.4.21 Frota atual rev'!U47)</f>
        <v>0</v>
      </c>
      <c r="R47" s="529">
        <f t="shared" si="17"/>
        <v>8</v>
      </c>
    </row>
    <row r="48" spans="1:18" x14ac:dyDescent="0.2">
      <c r="A48" s="843"/>
      <c r="B48" s="846"/>
      <c r="C48" s="525" t="s">
        <v>362</v>
      </c>
      <c r="D48" s="526"/>
      <c r="E48" s="527"/>
      <c r="F48" s="527"/>
      <c r="G48" s="527"/>
      <c r="H48" s="527">
        <v>38</v>
      </c>
      <c r="I48" s="527">
        <v>19</v>
      </c>
      <c r="J48" s="527">
        <f>15+2</f>
        <v>17</v>
      </c>
      <c r="K48" s="527">
        <f>28+4</f>
        <v>32</v>
      </c>
      <c r="L48" s="527">
        <f>16+2</f>
        <v>18</v>
      </c>
      <c r="M48" s="527">
        <f>30+4</f>
        <v>34</v>
      </c>
      <c r="N48" s="527">
        <v>12</v>
      </c>
      <c r="O48" s="527"/>
      <c r="P48" s="527"/>
      <c r="Q48" s="528">
        <f>IF('[4]02 Coeficientes'!$B$79="SIM",'[4]Aux.4.21 Frota atual rev'!W48,'[4]Aux.4.21 Frota atual rev'!U48)</f>
        <v>0</v>
      </c>
      <c r="R48" s="529">
        <f t="shared" si="17"/>
        <v>170</v>
      </c>
    </row>
    <row r="49" spans="1:18" x14ac:dyDescent="0.2">
      <c r="A49" s="843"/>
      <c r="B49" s="846"/>
      <c r="C49" s="525" t="s">
        <v>370</v>
      </c>
      <c r="D49" s="526"/>
      <c r="E49" s="527"/>
      <c r="F49" s="527"/>
      <c r="G49" s="527"/>
      <c r="H49" s="527"/>
      <c r="I49" s="527"/>
      <c r="J49" s="527">
        <v>2</v>
      </c>
      <c r="K49" s="527"/>
      <c r="L49" s="527"/>
      <c r="M49" s="527"/>
      <c r="N49" s="527"/>
      <c r="O49" s="527"/>
      <c r="P49" s="527"/>
      <c r="Q49" s="528">
        <f>IF('[4]02 Coeficientes'!$B$79="SIM",'[4]Aux.4.21 Frota atual rev'!W49,'[4]Aux.4.21 Frota atual rev'!U49)</f>
        <v>0</v>
      </c>
      <c r="R49" s="529">
        <f t="shared" si="17"/>
        <v>2</v>
      </c>
    </row>
    <row r="50" spans="1:18" x14ac:dyDescent="0.2">
      <c r="A50" s="843"/>
      <c r="B50" s="846"/>
      <c r="C50" s="525" t="s">
        <v>409</v>
      </c>
      <c r="D50" s="526"/>
      <c r="E50" s="527"/>
      <c r="F50" s="527"/>
      <c r="G50" s="527"/>
      <c r="H50" s="527"/>
      <c r="I50" s="527"/>
      <c r="J50" s="527"/>
      <c r="K50" s="527"/>
      <c r="L50" s="527"/>
      <c r="M50" s="527"/>
      <c r="N50" s="527"/>
      <c r="O50" s="527"/>
      <c r="P50" s="527"/>
      <c r="Q50" s="528">
        <f>IF('[4]02 Coeficientes'!$B$79="SIM",'[4]Aux.4.21 Frota atual rev'!W50,'[4]Aux.4.21 Frota atual rev'!U50)</f>
        <v>0</v>
      </c>
      <c r="R50" s="529">
        <f t="shared" si="17"/>
        <v>0</v>
      </c>
    </row>
    <row r="51" spans="1:18" x14ac:dyDescent="0.2">
      <c r="A51" s="843"/>
      <c r="B51" s="846"/>
      <c r="C51" s="530" t="s">
        <v>413</v>
      </c>
      <c r="D51" s="526"/>
      <c r="E51" s="527"/>
      <c r="F51" s="527"/>
      <c r="G51" s="527"/>
      <c r="H51" s="527"/>
      <c r="I51" s="527">
        <v>7</v>
      </c>
      <c r="J51" s="527">
        <v>1</v>
      </c>
      <c r="K51" s="527"/>
      <c r="L51" s="527"/>
      <c r="M51" s="527"/>
      <c r="N51" s="527"/>
      <c r="O51" s="527"/>
      <c r="P51" s="527"/>
      <c r="Q51" s="528">
        <f>IF('[4]02 Coeficientes'!$B$79="SIM",'[4]Aux.4.21 Frota atual rev'!W51,'[4]Aux.4.21 Frota atual rev'!U51)</f>
        <v>0</v>
      </c>
      <c r="R51" s="529">
        <f t="shared" si="17"/>
        <v>8</v>
      </c>
    </row>
    <row r="52" spans="1:18" x14ac:dyDescent="0.2">
      <c r="A52" s="843"/>
      <c r="B52" s="846"/>
      <c r="C52" s="525" t="s">
        <v>365</v>
      </c>
      <c r="D52" s="526"/>
      <c r="E52" s="527"/>
      <c r="F52" s="527"/>
      <c r="G52" s="527"/>
      <c r="H52" s="527"/>
      <c r="I52" s="527">
        <v>1</v>
      </c>
      <c r="J52" s="527">
        <v>5</v>
      </c>
      <c r="K52" s="527"/>
      <c r="L52" s="527"/>
      <c r="M52" s="527"/>
      <c r="N52" s="527"/>
      <c r="O52" s="527"/>
      <c r="P52" s="527"/>
      <c r="Q52" s="528">
        <f>IF('[4]02 Coeficientes'!$B$79="SIM",'[4]Aux.4.21 Frota atual rev'!W52,'[4]Aux.4.21 Frota atual rev'!U52)</f>
        <v>0</v>
      </c>
      <c r="R52" s="529">
        <f t="shared" si="17"/>
        <v>6</v>
      </c>
    </row>
    <row r="53" spans="1:18" x14ac:dyDescent="0.2">
      <c r="A53" s="843"/>
      <c r="B53" s="847"/>
      <c r="C53" s="525" t="s">
        <v>371</v>
      </c>
      <c r="D53" s="531"/>
      <c r="E53" s="532"/>
      <c r="F53" s="532"/>
      <c r="G53" s="532"/>
      <c r="H53" s="532"/>
      <c r="I53" s="532"/>
      <c r="J53" s="532"/>
      <c r="K53" s="532"/>
      <c r="L53" s="532"/>
      <c r="M53" s="532"/>
      <c r="N53" s="532"/>
      <c r="O53" s="532"/>
      <c r="P53" s="532"/>
      <c r="Q53" s="533">
        <f>IF('[4]02 Coeficientes'!$B$79="SIM",'[4]Aux.4.21 Frota atual rev'!W53,'[4]Aux.4.21 Frota atual rev'!U53)</f>
        <v>0</v>
      </c>
      <c r="R53" s="529">
        <f t="shared" si="17"/>
        <v>0</v>
      </c>
    </row>
    <row r="54" spans="1:18" x14ac:dyDescent="0.2">
      <c r="A54" s="843"/>
      <c r="B54" s="534" t="s">
        <v>410</v>
      </c>
      <c r="C54" s="535"/>
      <c r="D54" s="536">
        <f t="shared" ref="D54:Q54" si="18">SUM(D44:D53)</f>
        <v>0</v>
      </c>
      <c r="E54" s="536">
        <f t="shared" si="18"/>
        <v>0</v>
      </c>
      <c r="F54" s="536">
        <f t="shared" si="18"/>
        <v>0</v>
      </c>
      <c r="G54" s="536">
        <f t="shared" si="18"/>
        <v>0</v>
      </c>
      <c r="H54" s="536">
        <f t="shared" si="18"/>
        <v>38</v>
      </c>
      <c r="I54" s="536">
        <f t="shared" si="18"/>
        <v>27</v>
      </c>
      <c r="J54" s="536">
        <f t="shared" si="18"/>
        <v>25</v>
      </c>
      <c r="K54" s="536">
        <f t="shared" si="18"/>
        <v>32</v>
      </c>
      <c r="L54" s="536">
        <f t="shared" si="18"/>
        <v>23</v>
      </c>
      <c r="M54" s="536">
        <f t="shared" si="18"/>
        <v>34</v>
      </c>
      <c r="N54" s="536">
        <f t="shared" si="18"/>
        <v>20</v>
      </c>
      <c r="O54" s="536">
        <f t="shared" si="18"/>
        <v>0</v>
      </c>
      <c r="P54" s="536">
        <f t="shared" si="18"/>
        <v>0</v>
      </c>
      <c r="Q54" s="536">
        <f t="shared" si="18"/>
        <v>18</v>
      </c>
      <c r="R54" s="537">
        <f>SUM(R44:R53)</f>
        <v>217</v>
      </c>
    </row>
    <row r="55" spans="1:18" x14ac:dyDescent="0.2">
      <c r="A55" s="843"/>
      <c r="B55" s="845" t="s">
        <v>354</v>
      </c>
      <c r="C55" s="525" t="s">
        <v>369</v>
      </c>
      <c r="D55" s="521"/>
      <c r="E55" s="522"/>
      <c r="F55" s="522"/>
      <c r="G55" s="522"/>
      <c r="H55" s="522"/>
      <c r="I55" s="522"/>
      <c r="J55" s="522"/>
      <c r="K55" s="522"/>
      <c r="L55" s="522">
        <v>2</v>
      </c>
      <c r="M55" s="522"/>
      <c r="N55" s="522"/>
      <c r="O55" s="522"/>
      <c r="P55" s="522"/>
      <c r="Q55" s="523">
        <f>IF('[4]02 Coeficientes'!$B$79="SIM",'[4]Aux.4.21 Frota atual rev'!W55,'[4]Aux.4.21 Frota atual rev'!U55)</f>
        <v>3</v>
      </c>
      <c r="R55" s="524">
        <f>SUM(D55:Q55)</f>
        <v>5</v>
      </c>
    </row>
    <row r="56" spans="1:18" x14ac:dyDescent="0.2">
      <c r="A56" s="843"/>
      <c r="B56" s="846"/>
      <c r="C56" s="525" t="s">
        <v>372</v>
      </c>
      <c r="D56" s="526"/>
      <c r="E56" s="527"/>
      <c r="F56" s="527"/>
      <c r="G56" s="527"/>
      <c r="H56" s="527"/>
      <c r="I56" s="527"/>
      <c r="J56" s="527"/>
      <c r="K56" s="527"/>
      <c r="L56" s="527"/>
      <c r="M56" s="527"/>
      <c r="N56" s="527"/>
      <c r="O56" s="527"/>
      <c r="P56" s="527"/>
      <c r="Q56" s="528">
        <f>IF('[4]02 Coeficientes'!$B$79="SIM",'[4]Aux.4.21 Frota atual rev'!W56,'[4]Aux.4.21 Frota atual rev'!U56)</f>
        <v>0</v>
      </c>
      <c r="R56" s="529">
        <f>SUM(D56:Q56)</f>
        <v>0</v>
      </c>
    </row>
    <row r="57" spans="1:18" x14ac:dyDescent="0.2">
      <c r="A57" s="843"/>
      <c r="B57" s="846"/>
      <c r="C57" s="525" t="s">
        <v>359</v>
      </c>
      <c r="D57" s="526"/>
      <c r="E57" s="527"/>
      <c r="F57" s="527"/>
      <c r="G57" s="527"/>
      <c r="H57" s="527"/>
      <c r="I57" s="527"/>
      <c r="J57" s="527"/>
      <c r="K57" s="527"/>
      <c r="L57" s="527"/>
      <c r="M57" s="527">
        <v>3</v>
      </c>
      <c r="N57" s="527"/>
      <c r="O57" s="527"/>
      <c r="P57" s="527"/>
      <c r="Q57" s="528">
        <f>IF('[4]02 Coeficientes'!$B$79="SIM",'[4]Aux.4.21 Frota atual rev'!W57,'[4]Aux.4.21 Frota atual rev'!U57)</f>
        <v>6</v>
      </c>
      <c r="R57" s="529">
        <f>SUM(D57:Q57)</f>
        <v>9</v>
      </c>
    </row>
    <row r="58" spans="1:18" x14ac:dyDescent="0.2">
      <c r="A58" s="843"/>
      <c r="B58" s="847"/>
      <c r="C58" s="525" t="s">
        <v>362</v>
      </c>
      <c r="D58" s="531"/>
      <c r="E58" s="532"/>
      <c r="F58" s="532"/>
      <c r="G58" s="532"/>
      <c r="H58" s="532"/>
      <c r="I58" s="532">
        <v>4</v>
      </c>
      <c r="J58" s="532">
        <v>3</v>
      </c>
      <c r="K58" s="532">
        <v>1</v>
      </c>
      <c r="L58" s="532">
        <v>15</v>
      </c>
      <c r="M58" s="532">
        <v>15</v>
      </c>
      <c r="N58" s="532"/>
      <c r="O58" s="532"/>
      <c r="P58" s="532"/>
      <c r="Q58" s="533">
        <f>IF('[4]02 Coeficientes'!$B$79="SIM",'[4]Aux.4.21 Frota atual rev'!W58,'[4]Aux.4.21 Frota atual rev'!U58)</f>
        <v>23</v>
      </c>
      <c r="R58" s="529">
        <f>SUM(D58:Q58)</f>
        <v>61</v>
      </c>
    </row>
    <row r="59" spans="1:18" x14ac:dyDescent="0.2">
      <c r="A59" s="844"/>
      <c r="B59" s="534" t="s">
        <v>411</v>
      </c>
      <c r="C59" s="538">
        <f>R59/R60</f>
        <v>0.25684931506849318</v>
      </c>
      <c r="D59" s="536">
        <f t="shared" ref="D59:Q59" si="19">SUM(D55:D58)</f>
        <v>0</v>
      </c>
      <c r="E59" s="536">
        <f t="shared" si="19"/>
        <v>0</v>
      </c>
      <c r="F59" s="536">
        <f t="shared" si="19"/>
        <v>0</v>
      </c>
      <c r="G59" s="536">
        <f t="shared" si="19"/>
        <v>0</v>
      </c>
      <c r="H59" s="536">
        <f t="shared" si="19"/>
        <v>0</v>
      </c>
      <c r="I59" s="536">
        <f t="shared" si="19"/>
        <v>4</v>
      </c>
      <c r="J59" s="536">
        <f t="shared" si="19"/>
        <v>3</v>
      </c>
      <c r="K59" s="536">
        <f t="shared" si="19"/>
        <v>1</v>
      </c>
      <c r="L59" s="536">
        <f t="shared" si="19"/>
        <v>17</v>
      </c>
      <c r="M59" s="536">
        <f t="shared" si="19"/>
        <v>18</v>
      </c>
      <c r="N59" s="536">
        <f t="shared" si="19"/>
        <v>0</v>
      </c>
      <c r="O59" s="536">
        <f t="shared" si="19"/>
        <v>0</v>
      </c>
      <c r="P59" s="536">
        <f t="shared" si="19"/>
        <v>0</v>
      </c>
      <c r="Q59" s="536">
        <f t="shared" si="19"/>
        <v>32</v>
      </c>
      <c r="R59" s="537">
        <f>SUM(R55:R58)</f>
        <v>75</v>
      </c>
    </row>
    <row r="60" spans="1:18" x14ac:dyDescent="0.2">
      <c r="A60" s="539" t="s">
        <v>427</v>
      </c>
      <c r="B60" s="540"/>
      <c r="C60" s="541"/>
      <c r="D60" s="542">
        <f t="shared" ref="D60:Q60" si="20">D54+D59</f>
        <v>0</v>
      </c>
      <c r="E60" s="543">
        <f t="shared" si="20"/>
        <v>0</v>
      </c>
      <c r="F60" s="543">
        <f t="shared" si="20"/>
        <v>0</v>
      </c>
      <c r="G60" s="543">
        <f t="shared" si="20"/>
        <v>0</v>
      </c>
      <c r="H60" s="543">
        <f t="shared" si="20"/>
        <v>38</v>
      </c>
      <c r="I60" s="543">
        <f t="shared" si="20"/>
        <v>31</v>
      </c>
      <c r="J60" s="543">
        <f t="shared" si="20"/>
        <v>28</v>
      </c>
      <c r="K60" s="543">
        <f t="shared" si="20"/>
        <v>33</v>
      </c>
      <c r="L60" s="543">
        <f t="shared" si="20"/>
        <v>40</v>
      </c>
      <c r="M60" s="543">
        <f t="shared" si="20"/>
        <v>52</v>
      </c>
      <c r="N60" s="543">
        <f t="shared" si="20"/>
        <v>20</v>
      </c>
      <c r="O60" s="543">
        <f t="shared" si="20"/>
        <v>0</v>
      </c>
      <c r="P60" s="543">
        <f t="shared" si="20"/>
        <v>0</v>
      </c>
      <c r="Q60" s="543">
        <f t="shared" si="20"/>
        <v>50</v>
      </c>
      <c r="R60" s="537">
        <f>R54+R59</f>
        <v>292</v>
      </c>
    </row>
    <row r="61" spans="1:18" x14ac:dyDescent="0.2">
      <c r="A61" s="822" t="s">
        <v>390</v>
      </c>
      <c r="B61" s="825" t="s">
        <v>353</v>
      </c>
      <c r="C61" s="544" t="s">
        <v>350</v>
      </c>
      <c r="D61" s="545"/>
      <c r="E61" s="546"/>
      <c r="F61" s="546"/>
      <c r="G61" s="546"/>
      <c r="H61" s="546"/>
      <c r="I61" s="546"/>
      <c r="J61" s="546">
        <v>1</v>
      </c>
      <c r="K61" s="546"/>
      <c r="L61" s="546"/>
      <c r="M61" s="546"/>
      <c r="N61" s="546"/>
      <c r="O61" s="546"/>
      <c r="P61" s="546"/>
      <c r="Q61" s="547">
        <f>IF('[4]02 Coeficientes'!$B$79="SIM",'[4]Aux.4.21 Frota atual rev'!W61,'[4]Aux.4.21 Frota atual rev'!U61)</f>
        <v>0</v>
      </c>
      <c r="R61" s="548">
        <f>SUM(D61:Q61)</f>
        <v>1</v>
      </c>
    </row>
    <row r="62" spans="1:18" x14ac:dyDescent="0.2">
      <c r="A62" s="823"/>
      <c r="B62" s="826"/>
      <c r="C62" s="549" t="s">
        <v>369</v>
      </c>
      <c r="D62" s="550"/>
      <c r="E62" s="551"/>
      <c r="F62" s="551"/>
      <c r="G62" s="551"/>
      <c r="H62" s="551"/>
      <c r="I62" s="551"/>
      <c r="J62" s="551"/>
      <c r="K62" s="551"/>
      <c r="L62" s="551">
        <v>10</v>
      </c>
      <c r="M62" s="551">
        <v>14</v>
      </c>
      <c r="N62" s="551">
        <v>2</v>
      </c>
      <c r="O62" s="551"/>
      <c r="P62" s="551"/>
      <c r="Q62" s="552">
        <f>IF('[4]02 Coeficientes'!$B$79="SIM",'[4]Aux.4.21 Frota atual rev'!W62,'[4]Aux.4.21 Frota atual rev'!U62)</f>
        <v>0</v>
      </c>
      <c r="R62" s="553">
        <f>SUM(D62:Q62)</f>
        <v>26</v>
      </c>
    </row>
    <row r="63" spans="1:18" x14ac:dyDescent="0.2">
      <c r="A63" s="823"/>
      <c r="B63" s="826"/>
      <c r="C63" s="549" t="s">
        <v>359</v>
      </c>
      <c r="D63" s="550"/>
      <c r="E63" s="551"/>
      <c r="F63" s="551"/>
      <c r="G63" s="551"/>
      <c r="H63" s="551"/>
      <c r="I63" s="551"/>
      <c r="J63" s="551"/>
      <c r="K63" s="551"/>
      <c r="L63" s="551"/>
      <c r="M63" s="551"/>
      <c r="N63" s="551"/>
      <c r="O63" s="551"/>
      <c r="P63" s="551"/>
      <c r="Q63" s="552">
        <f>IF('[4]02 Coeficientes'!$B$79="SIM",'[4]Aux.4.21 Frota atual rev'!W63,'[4]Aux.4.21 Frota atual rev'!U63)</f>
        <v>9</v>
      </c>
      <c r="R63" s="553">
        <f t="shared" ref="R63:R70" si="21">SUM(D63:Q63)</f>
        <v>9</v>
      </c>
    </row>
    <row r="64" spans="1:18" x14ac:dyDescent="0.2">
      <c r="A64" s="823"/>
      <c r="B64" s="826"/>
      <c r="C64" s="549" t="s">
        <v>360</v>
      </c>
      <c r="D64" s="550"/>
      <c r="E64" s="551"/>
      <c r="F64" s="551"/>
      <c r="G64" s="551"/>
      <c r="H64" s="551"/>
      <c r="I64" s="551"/>
      <c r="J64" s="551"/>
      <c r="K64" s="551"/>
      <c r="L64" s="551"/>
      <c r="M64" s="551"/>
      <c r="N64" s="551">
        <v>7</v>
      </c>
      <c r="O64" s="551"/>
      <c r="P64" s="551"/>
      <c r="Q64" s="552">
        <f>IF('[4]02 Coeficientes'!$B$79="SIM",'[4]Aux.4.21 Frota atual rev'!W64,'[4]Aux.4.21 Frota atual rev'!U64)</f>
        <v>0</v>
      </c>
      <c r="R64" s="553">
        <f t="shared" si="21"/>
        <v>7</v>
      </c>
    </row>
    <row r="65" spans="1:18" x14ac:dyDescent="0.2">
      <c r="A65" s="823"/>
      <c r="B65" s="826"/>
      <c r="C65" s="549" t="s">
        <v>362</v>
      </c>
      <c r="D65" s="550"/>
      <c r="E65" s="551"/>
      <c r="F65" s="551"/>
      <c r="G65" s="551"/>
      <c r="H65" s="551">
        <v>26</v>
      </c>
      <c r="I65" s="551">
        <v>13</v>
      </c>
      <c r="J65" s="551">
        <v>10</v>
      </c>
      <c r="K65" s="551">
        <v>20</v>
      </c>
      <c r="L65" s="551">
        <v>11</v>
      </c>
      <c r="M65" s="551">
        <v>21</v>
      </c>
      <c r="N65" s="551">
        <v>6</v>
      </c>
      <c r="O65" s="551"/>
      <c r="P65" s="551"/>
      <c r="Q65" s="552">
        <f>IF('[4]02 Coeficientes'!$B$79="SIM",'[4]Aux.4.21 Frota atual rev'!W65,'[4]Aux.4.21 Frota atual rev'!U65)</f>
        <v>3</v>
      </c>
      <c r="R65" s="553">
        <f t="shared" si="21"/>
        <v>110</v>
      </c>
    </row>
    <row r="66" spans="1:18" x14ac:dyDescent="0.2">
      <c r="A66" s="823"/>
      <c r="B66" s="826"/>
      <c r="C66" s="549" t="s">
        <v>370</v>
      </c>
      <c r="D66" s="550"/>
      <c r="E66" s="551"/>
      <c r="F66" s="551"/>
      <c r="G66" s="551"/>
      <c r="H66" s="551"/>
      <c r="I66" s="551"/>
      <c r="J66" s="551"/>
      <c r="K66" s="551"/>
      <c r="L66" s="551"/>
      <c r="M66" s="551"/>
      <c r="N66" s="551"/>
      <c r="O66" s="551"/>
      <c r="P66" s="551"/>
      <c r="Q66" s="552">
        <f>IF('[4]02 Coeficientes'!$B$79="SIM",'[4]Aux.4.21 Frota atual rev'!W66,'[4]Aux.4.21 Frota atual rev'!U66)</f>
        <v>0</v>
      </c>
      <c r="R66" s="553">
        <f t="shared" si="21"/>
        <v>0</v>
      </c>
    </row>
    <row r="67" spans="1:18" x14ac:dyDescent="0.2">
      <c r="A67" s="823"/>
      <c r="B67" s="826"/>
      <c r="C67" s="549" t="s">
        <v>409</v>
      </c>
      <c r="D67" s="550"/>
      <c r="E67" s="551"/>
      <c r="F67" s="551"/>
      <c r="G67" s="551"/>
      <c r="H67" s="551"/>
      <c r="I67" s="551"/>
      <c r="J67" s="551"/>
      <c r="K67" s="551"/>
      <c r="L67" s="551"/>
      <c r="M67" s="551"/>
      <c r="N67" s="551"/>
      <c r="O67" s="551"/>
      <c r="P67" s="551"/>
      <c r="Q67" s="552">
        <f>IF('[4]02 Coeficientes'!$B$79="SIM",'[4]Aux.4.21 Frota atual rev'!W67,'[4]Aux.4.21 Frota atual rev'!U67)</f>
        <v>0</v>
      </c>
      <c r="R67" s="553">
        <f t="shared" si="21"/>
        <v>0</v>
      </c>
    </row>
    <row r="68" spans="1:18" x14ac:dyDescent="0.2">
      <c r="A68" s="823"/>
      <c r="B68" s="826"/>
      <c r="C68" s="554" t="s">
        <v>413</v>
      </c>
      <c r="D68" s="550"/>
      <c r="E68" s="551"/>
      <c r="F68" s="551"/>
      <c r="G68" s="551"/>
      <c r="H68" s="551"/>
      <c r="I68" s="551"/>
      <c r="J68" s="551">
        <v>4</v>
      </c>
      <c r="K68" s="551"/>
      <c r="L68" s="551"/>
      <c r="M68" s="551"/>
      <c r="N68" s="551"/>
      <c r="O68" s="551"/>
      <c r="P68" s="551"/>
      <c r="Q68" s="552">
        <f>IF('[4]02 Coeficientes'!$B$79="SIM",'[4]Aux.4.21 Frota atual rev'!W68,'[4]Aux.4.21 Frota atual rev'!U68)</f>
        <v>0</v>
      </c>
      <c r="R68" s="553">
        <f t="shared" si="21"/>
        <v>4</v>
      </c>
    </row>
    <row r="69" spans="1:18" x14ac:dyDescent="0.2">
      <c r="A69" s="823"/>
      <c r="B69" s="826"/>
      <c r="C69" s="549" t="s">
        <v>365</v>
      </c>
      <c r="D69" s="550"/>
      <c r="E69" s="551"/>
      <c r="F69" s="551"/>
      <c r="G69" s="551"/>
      <c r="H69" s="551"/>
      <c r="I69" s="551">
        <v>1</v>
      </c>
      <c r="J69" s="551">
        <v>4</v>
      </c>
      <c r="K69" s="551"/>
      <c r="L69" s="551"/>
      <c r="M69" s="551"/>
      <c r="N69" s="551"/>
      <c r="O69" s="551"/>
      <c r="P69" s="551"/>
      <c r="Q69" s="552">
        <f>IF('[4]02 Coeficientes'!$B$79="SIM",'[4]Aux.4.21 Frota atual rev'!W69,'[4]Aux.4.21 Frota atual rev'!U69)</f>
        <v>0</v>
      </c>
      <c r="R69" s="553">
        <f t="shared" si="21"/>
        <v>5</v>
      </c>
    </row>
    <row r="70" spans="1:18" x14ac:dyDescent="0.2">
      <c r="A70" s="823"/>
      <c r="B70" s="827"/>
      <c r="C70" s="549" t="s">
        <v>371</v>
      </c>
      <c r="D70" s="555"/>
      <c r="E70" s="556"/>
      <c r="F70" s="556"/>
      <c r="G70" s="556"/>
      <c r="H70" s="556"/>
      <c r="I70" s="556"/>
      <c r="J70" s="556">
        <v>7</v>
      </c>
      <c r="K70" s="556"/>
      <c r="L70" s="556"/>
      <c r="M70" s="556"/>
      <c r="N70" s="556"/>
      <c r="O70" s="556"/>
      <c r="P70" s="556"/>
      <c r="Q70" s="557">
        <f>IF('[4]02 Coeficientes'!$B$79="SIM",'[4]Aux.4.21 Frota atual rev'!W70,'[4]Aux.4.21 Frota atual rev'!U70)</f>
        <v>0</v>
      </c>
      <c r="R70" s="553">
        <f t="shared" si="21"/>
        <v>7</v>
      </c>
    </row>
    <row r="71" spans="1:18" x14ac:dyDescent="0.2">
      <c r="A71" s="823"/>
      <c r="B71" s="558" t="s">
        <v>410</v>
      </c>
      <c r="C71" s="559"/>
      <c r="D71" s="560">
        <f t="shared" ref="D71:Q71" si="22">SUM(D61:D70)</f>
        <v>0</v>
      </c>
      <c r="E71" s="560">
        <f t="shared" si="22"/>
        <v>0</v>
      </c>
      <c r="F71" s="560">
        <f t="shared" si="22"/>
        <v>0</v>
      </c>
      <c r="G71" s="560">
        <f t="shared" si="22"/>
        <v>0</v>
      </c>
      <c r="H71" s="560">
        <f t="shared" si="22"/>
        <v>26</v>
      </c>
      <c r="I71" s="560">
        <f t="shared" si="22"/>
        <v>14</v>
      </c>
      <c r="J71" s="560">
        <f t="shared" si="22"/>
        <v>26</v>
      </c>
      <c r="K71" s="560">
        <f t="shared" si="22"/>
        <v>20</v>
      </c>
      <c r="L71" s="560">
        <f t="shared" si="22"/>
        <v>21</v>
      </c>
      <c r="M71" s="560">
        <f t="shared" si="22"/>
        <v>35</v>
      </c>
      <c r="N71" s="560">
        <f t="shared" si="22"/>
        <v>15</v>
      </c>
      <c r="O71" s="560">
        <f t="shared" si="22"/>
        <v>0</v>
      </c>
      <c r="P71" s="560">
        <f t="shared" si="22"/>
        <v>0</v>
      </c>
      <c r="Q71" s="560">
        <f t="shared" si="22"/>
        <v>12</v>
      </c>
      <c r="R71" s="561">
        <f>SUM(R61:R70)</f>
        <v>169</v>
      </c>
    </row>
    <row r="72" spans="1:18" x14ac:dyDescent="0.2">
      <c r="A72" s="823"/>
      <c r="B72" s="825" t="s">
        <v>354</v>
      </c>
      <c r="C72" s="549" t="s">
        <v>369</v>
      </c>
      <c r="D72" s="545"/>
      <c r="E72" s="546"/>
      <c r="F72" s="546"/>
      <c r="G72" s="546"/>
      <c r="H72" s="546"/>
      <c r="I72" s="546"/>
      <c r="J72" s="546"/>
      <c r="K72" s="546"/>
      <c r="L72" s="546"/>
      <c r="M72" s="546">
        <v>7</v>
      </c>
      <c r="N72" s="546"/>
      <c r="O72" s="546"/>
      <c r="P72" s="546"/>
      <c r="Q72" s="547">
        <f>IF('[4]02 Coeficientes'!$B$79="SIM",'[4]Aux.4.21 Frota atual rev'!W72,'[4]Aux.4.21 Frota atual rev'!U72)</f>
        <v>18</v>
      </c>
      <c r="R72" s="548">
        <f>SUM(D72:Q72)</f>
        <v>25</v>
      </c>
    </row>
    <row r="73" spans="1:18" x14ac:dyDescent="0.2">
      <c r="A73" s="823"/>
      <c r="B73" s="826"/>
      <c r="C73" s="549" t="s">
        <v>372</v>
      </c>
      <c r="D73" s="550"/>
      <c r="E73" s="551"/>
      <c r="F73" s="551"/>
      <c r="G73" s="551"/>
      <c r="H73" s="551"/>
      <c r="I73" s="551"/>
      <c r="J73" s="551"/>
      <c r="K73" s="551"/>
      <c r="L73" s="551"/>
      <c r="M73" s="551">
        <v>1</v>
      </c>
      <c r="N73" s="551"/>
      <c r="O73" s="551"/>
      <c r="P73" s="551"/>
      <c r="Q73" s="552">
        <f>IF('[4]02 Coeficientes'!$B$79="SIM",'[4]Aux.4.21 Frota atual rev'!W73,'[4]Aux.4.21 Frota atual rev'!U73)</f>
        <v>0</v>
      </c>
      <c r="R73" s="553">
        <f>SUM(D73:Q73)</f>
        <v>1</v>
      </c>
    </row>
    <row r="74" spans="1:18" x14ac:dyDescent="0.2">
      <c r="A74" s="823"/>
      <c r="B74" s="826"/>
      <c r="C74" s="549" t="s">
        <v>359</v>
      </c>
      <c r="D74" s="550"/>
      <c r="E74" s="551"/>
      <c r="F74" s="551"/>
      <c r="G74" s="551"/>
      <c r="H74" s="551"/>
      <c r="I74" s="551"/>
      <c r="J74" s="551"/>
      <c r="K74" s="551"/>
      <c r="L74" s="551"/>
      <c r="M74" s="551">
        <v>2</v>
      </c>
      <c r="N74" s="551"/>
      <c r="O74" s="551"/>
      <c r="P74" s="551"/>
      <c r="Q74" s="552">
        <f>IF('[4]02 Coeficientes'!$B$79="SIM",'[4]Aux.4.21 Frota atual rev'!W74,'[4]Aux.4.21 Frota atual rev'!U74)</f>
        <v>11</v>
      </c>
      <c r="R74" s="553">
        <f>SUM(D74:Q74)</f>
        <v>13</v>
      </c>
    </row>
    <row r="75" spans="1:18" x14ac:dyDescent="0.2">
      <c r="A75" s="823"/>
      <c r="B75" s="827"/>
      <c r="C75" s="549" t="s">
        <v>362</v>
      </c>
      <c r="D75" s="555"/>
      <c r="E75" s="556"/>
      <c r="F75" s="556"/>
      <c r="G75" s="556"/>
      <c r="H75" s="556"/>
      <c r="I75" s="556">
        <v>3</v>
      </c>
      <c r="J75" s="556">
        <v>3</v>
      </c>
      <c r="K75" s="556">
        <v>1</v>
      </c>
      <c r="L75" s="556">
        <v>8</v>
      </c>
      <c r="M75" s="556">
        <v>8</v>
      </c>
      <c r="N75" s="556"/>
      <c r="O75" s="556"/>
      <c r="P75" s="556"/>
      <c r="Q75" s="557">
        <f>IF('[4]02 Coeficientes'!$B$79="SIM",'[4]Aux.4.21 Frota atual rev'!W75,'[4]Aux.4.21 Frota atual rev'!U75)</f>
        <v>0</v>
      </c>
      <c r="R75" s="553">
        <f>SUM(D75:Q75)</f>
        <v>23</v>
      </c>
    </row>
    <row r="76" spans="1:18" x14ac:dyDescent="0.2">
      <c r="A76" s="824"/>
      <c r="B76" s="558" t="s">
        <v>411</v>
      </c>
      <c r="C76" s="562">
        <f>R76/R77</f>
        <v>0.26839826839826841</v>
      </c>
      <c r="D76" s="560">
        <f t="shared" ref="D76:Q76" si="23">SUM(D72:D75)</f>
        <v>0</v>
      </c>
      <c r="E76" s="560">
        <f t="shared" si="23"/>
        <v>0</v>
      </c>
      <c r="F76" s="560">
        <f t="shared" si="23"/>
        <v>0</v>
      </c>
      <c r="G76" s="560">
        <f t="shared" si="23"/>
        <v>0</v>
      </c>
      <c r="H76" s="560">
        <f t="shared" si="23"/>
        <v>0</v>
      </c>
      <c r="I76" s="560">
        <f t="shared" si="23"/>
        <v>3</v>
      </c>
      <c r="J76" s="560">
        <f t="shared" si="23"/>
        <v>3</v>
      </c>
      <c r="K76" s="560">
        <f t="shared" si="23"/>
        <v>1</v>
      </c>
      <c r="L76" s="560">
        <f t="shared" si="23"/>
        <v>8</v>
      </c>
      <c r="M76" s="560">
        <f t="shared" si="23"/>
        <v>18</v>
      </c>
      <c r="N76" s="560">
        <f t="shared" si="23"/>
        <v>0</v>
      </c>
      <c r="O76" s="560">
        <f t="shared" si="23"/>
        <v>0</v>
      </c>
      <c r="P76" s="560">
        <f t="shared" si="23"/>
        <v>0</v>
      </c>
      <c r="Q76" s="560">
        <f t="shared" si="23"/>
        <v>29</v>
      </c>
      <c r="R76" s="561">
        <f>SUM(R72:R75)</f>
        <v>62</v>
      </c>
    </row>
    <row r="77" spans="1:18" x14ac:dyDescent="0.2">
      <c r="A77" s="563" t="s">
        <v>428</v>
      </c>
      <c r="B77" s="564"/>
      <c r="C77" s="565"/>
      <c r="D77" s="566">
        <f t="shared" ref="D77:Q77" si="24">D71+D76</f>
        <v>0</v>
      </c>
      <c r="E77" s="567">
        <f t="shared" si="24"/>
        <v>0</v>
      </c>
      <c r="F77" s="567">
        <f t="shared" si="24"/>
        <v>0</v>
      </c>
      <c r="G77" s="567">
        <f t="shared" si="24"/>
        <v>0</v>
      </c>
      <c r="H77" s="567">
        <f t="shared" si="24"/>
        <v>26</v>
      </c>
      <c r="I77" s="567">
        <f t="shared" si="24"/>
        <v>17</v>
      </c>
      <c r="J77" s="567">
        <f t="shared" si="24"/>
        <v>29</v>
      </c>
      <c r="K77" s="567">
        <f t="shared" si="24"/>
        <v>21</v>
      </c>
      <c r="L77" s="567">
        <f t="shared" si="24"/>
        <v>29</v>
      </c>
      <c r="M77" s="567">
        <f t="shared" si="24"/>
        <v>53</v>
      </c>
      <c r="N77" s="567">
        <f t="shared" si="24"/>
        <v>15</v>
      </c>
      <c r="O77" s="567">
        <f t="shared" si="24"/>
        <v>0</v>
      </c>
      <c r="P77" s="567">
        <f t="shared" si="24"/>
        <v>0</v>
      </c>
      <c r="Q77" s="567">
        <f t="shared" si="24"/>
        <v>41</v>
      </c>
      <c r="R77" s="561">
        <f>R71+R76</f>
        <v>231</v>
      </c>
    </row>
    <row r="78" spans="1:18" x14ac:dyDescent="0.2">
      <c r="A78" s="828" t="s">
        <v>391</v>
      </c>
      <c r="B78" s="831" t="s">
        <v>353</v>
      </c>
      <c r="C78" s="568" t="s">
        <v>414</v>
      </c>
      <c r="D78" s="569"/>
      <c r="E78" s="570"/>
      <c r="F78" s="570"/>
      <c r="G78" s="570"/>
      <c r="H78" s="570"/>
      <c r="I78" s="570"/>
      <c r="J78" s="570"/>
      <c r="K78" s="570"/>
      <c r="L78" s="570"/>
      <c r="M78" s="570"/>
      <c r="N78" s="570"/>
      <c r="O78" s="570"/>
      <c r="P78" s="570"/>
      <c r="Q78" s="571">
        <f>IF('[4]02 Coeficientes'!$B$79="SIM",'[4]Aux.4.21 Frota atual rev'!W78,'[4]Aux.4.21 Frota atual rev'!U78)</f>
        <v>0</v>
      </c>
      <c r="R78" s="571">
        <f>SUM(D78:Q78)</f>
        <v>0</v>
      </c>
    </row>
    <row r="79" spans="1:18" x14ac:dyDescent="0.2">
      <c r="A79" s="829"/>
      <c r="B79" s="832"/>
      <c r="C79" s="572" t="s">
        <v>369</v>
      </c>
      <c r="D79" s="573"/>
      <c r="E79" s="574"/>
      <c r="F79" s="574"/>
      <c r="G79" s="574"/>
      <c r="H79" s="574"/>
      <c r="I79" s="574"/>
      <c r="J79" s="574"/>
      <c r="K79" s="574"/>
      <c r="L79" s="574"/>
      <c r="M79" s="574"/>
      <c r="N79" s="574"/>
      <c r="O79" s="574"/>
      <c r="P79" s="574"/>
      <c r="Q79" s="575">
        <f>IF('[4]02 Coeficientes'!$B$79="SIM",'[4]Aux.4.21 Frota atual rev'!W79,'[4]Aux.4.21 Frota atual rev'!U79)</f>
        <v>0</v>
      </c>
      <c r="R79" s="575">
        <f>SUM(D79:Q79)</f>
        <v>0</v>
      </c>
    </row>
    <row r="80" spans="1:18" x14ac:dyDescent="0.2">
      <c r="A80" s="829"/>
      <c r="B80" s="832"/>
      <c r="C80" s="572" t="s">
        <v>359</v>
      </c>
      <c r="D80" s="573"/>
      <c r="E80" s="574"/>
      <c r="F80" s="574"/>
      <c r="G80" s="574"/>
      <c r="H80" s="574"/>
      <c r="I80" s="574"/>
      <c r="J80" s="574">
        <v>8</v>
      </c>
      <c r="K80" s="574">
        <v>15</v>
      </c>
      <c r="L80" s="574">
        <v>12</v>
      </c>
      <c r="M80" s="574">
        <v>1</v>
      </c>
      <c r="N80" s="574"/>
      <c r="O80" s="574"/>
      <c r="P80" s="574"/>
      <c r="Q80" s="575">
        <f>IF('[4]02 Coeficientes'!$B$79="SIM",'[4]Aux.4.21 Frota atual rev'!W80,'[4]Aux.4.21 Frota atual rev'!U80)</f>
        <v>11</v>
      </c>
      <c r="R80" s="575">
        <f t="shared" ref="R80:R87" si="25">SUM(D80:Q80)</f>
        <v>47</v>
      </c>
    </row>
    <row r="81" spans="1:18" x14ac:dyDescent="0.2">
      <c r="A81" s="829"/>
      <c r="B81" s="832"/>
      <c r="C81" s="572" t="s">
        <v>360</v>
      </c>
      <c r="D81" s="573"/>
      <c r="E81" s="574"/>
      <c r="F81" s="574"/>
      <c r="G81" s="574"/>
      <c r="H81" s="574"/>
      <c r="I81" s="574"/>
      <c r="J81" s="574"/>
      <c r="K81" s="574">
        <v>8</v>
      </c>
      <c r="L81" s="574">
        <v>6</v>
      </c>
      <c r="M81" s="574">
        <v>9</v>
      </c>
      <c r="N81" s="574">
        <v>9</v>
      </c>
      <c r="O81" s="574"/>
      <c r="P81" s="574"/>
      <c r="Q81" s="575">
        <f>IF('[4]02 Coeficientes'!$B$79="SIM",'[4]Aux.4.21 Frota atual rev'!W81,'[4]Aux.4.21 Frota atual rev'!U81)</f>
        <v>0</v>
      </c>
      <c r="R81" s="575">
        <f t="shared" si="25"/>
        <v>32</v>
      </c>
    </row>
    <row r="82" spans="1:18" x14ac:dyDescent="0.2">
      <c r="A82" s="829"/>
      <c r="B82" s="832"/>
      <c r="C82" s="572" t="s">
        <v>361</v>
      </c>
      <c r="D82" s="573"/>
      <c r="E82" s="574"/>
      <c r="F82" s="574"/>
      <c r="G82" s="574"/>
      <c r="H82" s="574"/>
      <c r="I82" s="574"/>
      <c r="J82" s="574"/>
      <c r="K82" s="574"/>
      <c r="L82" s="574"/>
      <c r="M82" s="574"/>
      <c r="N82" s="574"/>
      <c r="O82" s="574"/>
      <c r="P82" s="574"/>
      <c r="Q82" s="575">
        <f>IF('[4]02 Coeficientes'!$B$79="SIM",'[4]Aux.4.21 Frota atual rev'!W82,'[4]Aux.4.21 Frota atual rev'!U82)</f>
        <v>0</v>
      </c>
      <c r="R82" s="575">
        <f t="shared" si="25"/>
        <v>0</v>
      </c>
    </row>
    <row r="83" spans="1:18" x14ac:dyDescent="0.2">
      <c r="A83" s="829"/>
      <c r="B83" s="832"/>
      <c r="C83" s="572" t="s">
        <v>362</v>
      </c>
      <c r="D83" s="573"/>
      <c r="E83" s="574"/>
      <c r="F83" s="574"/>
      <c r="G83" s="574"/>
      <c r="H83" s="574">
        <v>15</v>
      </c>
      <c r="I83" s="574">
        <v>8</v>
      </c>
      <c r="J83" s="574">
        <v>8</v>
      </c>
      <c r="K83" s="574">
        <v>1</v>
      </c>
      <c r="L83" s="574">
        <v>3</v>
      </c>
      <c r="M83" s="574">
        <v>4</v>
      </c>
      <c r="N83" s="574">
        <v>5</v>
      </c>
      <c r="O83" s="574"/>
      <c r="P83" s="574"/>
      <c r="Q83" s="575">
        <f>IF('[4]02 Coeficientes'!$B$79="SIM",'[4]Aux.4.21 Frota atual rev'!W83,'[4]Aux.4.21 Frota atual rev'!U83)</f>
        <v>7</v>
      </c>
      <c r="R83" s="575">
        <f t="shared" si="25"/>
        <v>51</v>
      </c>
    </row>
    <row r="84" spans="1:18" x14ac:dyDescent="0.2">
      <c r="A84" s="829"/>
      <c r="B84" s="832"/>
      <c r="C84" s="572" t="s">
        <v>409</v>
      </c>
      <c r="D84" s="573"/>
      <c r="E84" s="574"/>
      <c r="F84" s="574"/>
      <c r="G84" s="574"/>
      <c r="H84" s="574"/>
      <c r="I84" s="574"/>
      <c r="J84" s="574"/>
      <c r="K84" s="574"/>
      <c r="L84" s="574"/>
      <c r="M84" s="574"/>
      <c r="N84" s="574"/>
      <c r="O84" s="574"/>
      <c r="P84" s="574"/>
      <c r="Q84" s="575">
        <f>IF('[4]02 Coeficientes'!$B$79="SIM",'[4]Aux.4.21 Frota atual rev'!W84,'[4]Aux.4.21 Frota atual rev'!U84)</f>
        <v>0</v>
      </c>
      <c r="R84" s="575">
        <f t="shared" si="25"/>
        <v>0</v>
      </c>
    </row>
    <row r="85" spans="1:18" x14ac:dyDescent="0.2">
      <c r="A85" s="829"/>
      <c r="B85" s="832"/>
      <c r="C85" s="576" t="s">
        <v>413</v>
      </c>
      <c r="D85" s="573"/>
      <c r="E85" s="574"/>
      <c r="F85" s="574"/>
      <c r="G85" s="574"/>
      <c r="H85" s="574"/>
      <c r="I85" s="574">
        <v>2</v>
      </c>
      <c r="J85" s="574"/>
      <c r="K85" s="574"/>
      <c r="L85" s="574"/>
      <c r="M85" s="574"/>
      <c r="N85" s="574"/>
      <c r="O85" s="574"/>
      <c r="P85" s="574"/>
      <c r="Q85" s="575">
        <f>IF('[4]02 Coeficientes'!$B$79="SIM",'[4]Aux.4.21 Frota atual rev'!W85,'[4]Aux.4.21 Frota atual rev'!U85)</f>
        <v>4</v>
      </c>
      <c r="R85" s="575">
        <f t="shared" si="25"/>
        <v>6</v>
      </c>
    </row>
    <row r="86" spans="1:18" x14ac:dyDescent="0.2">
      <c r="A86" s="829"/>
      <c r="B86" s="832"/>
      <c r="C86" s="572" t="s">
        <v>364</v>
      </c>
      <c r="D86" s="573"/>
      <c r="E86" s="574"/>
      <c r="F86" s="574"/>
      <c r="G86" s="574"/>
      <c r="H86" s="574"/>
      <c r="I86" s="574"/>
      <c r="J86" s="574"/>
      <c r="K86" s="574"/>
      <c r="L86" s="574"/>
      <c r="M86" s="574"/>
      <c r="N86" s="574">
        <v>2</v>
      </c>
      <c r="O86" s="574"/>
      <c r="P86" s="574"/>
      <c r="Q86" s="575">
        <f>IF('[4]02 Coeficientes'!$B$79="SIM",'[4]Aux.4.21 Frota atual rev'!W86,'[4]Aux.4.21 Frota atual rev'!U86)</f>
        <v>0</v>
      </c>
      <c r="R86" s="575">
        <f t="shared" si="25"/>
        <v>2</v>
      </c>
    </row>
    <row r="87" spans="1:18" x14ac:dyDescent="0.2">
      <c r="A87" s="829"/>
      <c r="B87" s="833"/>
      <c r="C87" s="572" t="s">
        <v>365</v>
      </c>
      <c r="D87" s="577"/>
      <c r="E87" s="578"/>
      <c r="F87" s="578"/>
      <c r="G87" s="578"/>
      <c r="H87" s="578"/>
      <c r="I87" s="578"/>
      <c r="J87" s="578"/>
      <c r="K87" s="578"/>
      <c r="L87" s="578"/>
      <c r="M87" s="578">
        <v>2</v>
      </c>
      <c r="N87" s="578"/>
      <c r="O87" s="578">
        <v>2</v>
      </c>
      <c r="P87" s="578"/>
      <c r="Q87" s="579">
        <f>IF('[4]02 Coeficientes'!$B$79="SIM",'[4]Aux.4.21 Frota atual rev'!W87,'[4]Aux.4.21 Frota atual rev'!U87)</f>
        <v>0</v>
      </c>
      <c r="R87" s="575">
        <f t="shared" si="25"/>
        <v>4</v>
      </c>
    </row>
    <row r="88" spans="1:18" x14ac:dyDescent="0.2">
      <c r="A88" s="829"/>
      <c r="B88" s="580" t="s">
        <v>410</v>
      </c>
      <c r="C88" s="581"/>
      <c r="D88" s="582">
        <f t="shared" ref="D88:Q88" si="26">SUM(D78:D87)</f>
        <v>0</v>
      </c>
      <c r="E88" s="582">
        <f t="shared" si="26"/>
        <v>0</v>
      </c>
      <c r="F88" s="582">
        <f t="shared" si="26"/>
        <v>0</v>
      </c>
      <c r="G88" s="582">
        <f t="shared" si="26"/>
        <v>0</v>
      </c>
      <c r="H88" s="582">
        <f t="shared" si="26"/>
        <v>15</v>
      </c>
      <c r="I88" s="582">
        <f t="shared" si="26"/>
        <v>10</v>
      </c>
      <c r="J88" s="582">
        <f t="shared" si="26"/>
        <v>16</v>
      </c>
      <c r="K88" s="582">
        <f t="shared" si="26"/>
        <v>24</v>
      </c>
      <c r="L88" s="582">
        <f t="shared" si="26"/>
        <v>21</v>
      </c>
      <c r="M88" s="582">
        <f t="shared" si="26"/>
        <v>16</v>
      </c>
      <c r="N88" s="582">
        <f t="shared" si="26"/>
        <v>16</v>
      </c>
      <c r="O88" s="582">
        <f t="shared" si="26"/>
        <v>2</v>
      </c>
      <c r="P88" s="582">
        <f t="shared" si="26"/>
        <v>0</v>
      </c>
      <c r="Q88" s="582">
        <f t="shared" si="26"/>
        <v>22</v>
      </c>
      <c r="R88" s="583">
        <f>SUM(R78:R87)</f>
        <v>142</v>
      </c>
    </row>
    <row r="89" spans="1:18" x14ac:dyDescent="0.2">
      <c r="A89" s="829"/>
      <c r="B89" s="834" t="s">
        <v>354</v>
      </c>
      <c r="C89" s="572" t="s">
        <v>359</v>
      </c>
      <c r="D89" s="569"/>
      <c r="E89" s="570"/>
      <c r="F89" s="570"/>
      <c r="G89" s="570"/>
      <c r="H89" s="570"/>
      <c r="I89" s="570">
        <v>8</v>
      </c>
      <c r="J89" s="570">
        <v>3</v>
      </c>
      <c r="K89" s="570">
        <v>1</v>
      </c>
      <c r="L89" s="570">
        <v>1</v>
      </c>
      <c r="M89" s="570">
        <v>6</v>
      </c>
      <c r="N89" s="570"/>
      <c r="O89" s="570"/>
      <c r="P89" s="570"/>
      <c r="Q89" s="571">
        <f>IF('[4]02 Coeficientes'!$B$79="SIM",'[4]Aux.4.21 Frota atual rev'!W89,'[4]Aux.4.21 Frota atual rev'!U89)</f>
        <v>22</v>
      </c>
      <c r="R89" s="584">
        <f>SUM(D89:Q89)</f>
        <v>41</v>
      </c>
    </row>
    <row r="90" spans="1:18" x14ac:dyDescent="0.2">
      <c r="A90" s="829"/>
      <c r="B90" s="832"/>
      <c r="C90" s="572" t="s">
        <v>360</v>
      </c>
      <c r="D90" s="573"/>
      <c r="E90" s="574"/>
      <c r="F90" s="574"/>
      <c r="G90" s="574"/>
      <c r="H90" s="574"/>
      <c r="I90" s="574"/>
      <c r="J90" s="574"/>
      <c r="K90" s="574">
        <v>1</v>
      </c>
      <c r="L90" s="574">
        <v>2</v>
      </c>
      <c r="M90" s="574">
        <v>6</v>
      </c>
      <c r="N90" s="574"/>
      <c r="O90" s="574"/>
      <c r="P90" s="574"/>
      <c r="Q90" s="575">
        <f>IF('[4]02 Coeficientes'!$B$79="SIM",'[4]Aux.4.21 Frota atual rev'!W90,'[4]Aux.4.21 Frota atual rev'!U90)</f>
        <v>0</v>
      </c>
      <c r="R90" s="575">
        <f>SUM(D90:Q90)</f>
        <v>9</v>
      </c>
    </row>
    <row r="91" spans="1:18" x14ac:dyDescent="0.2">
      <c r="A91" s="829"/>
      <c r="B91" s="832"/>
      <c r="C91" s="572" t="s">
        <v>361</v>
      </c>
      <c r="D91" s="573"/>
      <c r="E91" s="574"/>
      <c r="F91" s="574"/>
      <c r="G91" s="574"/>
      <c r="H91" s="574"/>
      <c r="I91" s="574"/>
      <c r="J91" s="574"/>
      <c r="K91" s="574"/>
      <c r="L91" s="574"/>
      <c r="M91" s="574"/>
      <c r="N91" s="574"/>
      <c r="O91" s="574"/>
      <c r="P91" s="574"/>
      <c r="Q91" s="575">
        <f>IF('[4]02 Coeficientes'!$B$79="SIM",'[4]Aux.4.21 Frota atual rev'!W91,'[4]Aux.4.21 Frota atual rev'!U91)</f>
        <v>0</v>
      </c>
      <c r="R91" s="575">
        <f t="shared" ref="R91:R93" si="27">SUM(D91:Q91)</f>
        <v>0</v>
      </c>
    </row>
    <row r="92" spans="1:18" x14ac:dyDescent="0.2">
      <c r="A92" s="829"/>
      <c r="B92" s="832"/>
      <c r="C92" s="572" t="s">
        <v>362</v>
      </c>
      <c r="D92" s="573"/>
      <c r="E92" s="574"/>
      <c r="F92" s="574"/>
      <c r="G92" s="574"/>
      <c r="H92" s="574"/>
      <c r="I92" s="574"/>
      <c r="J92" s="574"/>
      <c r="K92" s="574"/>
      <c r="L92" s="574"/>
      <c r="M92" s="574"/>
      <c r="N92" s="574"/>
      <c r="O92" s="574"/>
      <c r="P92" s="574"/>
      <c r="Q92" s="575">
        <f>IF('[4]02 Coeficientes'!$B$79="SIM",'[4]Aux.4.21 Frota atual rev'!W92,'[4]Aux.4.21 Frota atual rev'!U92)</f>
        <v>0</v>
      </c>
      <c r="R92" s="575">
        <f t="shared" si="27"/>
        <v>0</v>
      </c>
    </row>
    <row r="93" spans="1:18" x14ac:dyDescent="0.2">
      <c r="A93" s="829"/>
      <c r="B93" s="833"/>
      <c r="C93" s="572" t="s">
        <v>373</v>
      </c>
      <c r="D93" s="577"/>
      <c r="E93" s="578"/>
      <c r="F93" s="578"/>
      <c r="G93" s="578"/>
      <c r="H93" s="578"/>
      <c r="I93" s="578"/>
      <c r="J93" s="578"/>
      <c r="K93" s="578"/>
      <c r="L93" s="578"/>
      <c r="M93" s="578"/>
      <c r="N93" s="578"/>
      <c r="O93" s="578"/>
      <c r="P93" s="578"/>
      <c r="Q93" s="579">
        <f>IF('[4]02 Coeficientes'!$B$79="SIM",'[4]Aux.4.21 Frota atual rev'!W93,'[4]Aux.4.21 Frota atual rev'!U93)</f>
        <v>0</v>
      </c>
      <c r="R93" s="575">
        <f t="shared" si="27"/>
        <v>0</v>
      </c>
    </row>
    <row r="94" spans="1:18" x14ac:dyDescent="0.2">
      <c r="A94" s="830"/>
      <c r="B94" s="580" t="s">
        <v>411</v>
      </c>
      <c r="C94" s="585">
        <f>R94/R95</f>
        <v>0.26041666666666669</v>
      </c>
      <c r="D94" s="582">
        <f t="shared" ref="D94:Q94" si="28">SUM(D89:D93)</f>
        <v>0</v>
      </c>
      <c r="E94" s="582">
        <f t="shared" si="28"/>
        <v>0</v>
      </c>
      <c r="F94" s="582">
        <f t="shared" si="28"/>
        <v>0</v>
      </c>
      <c r="G94" s="582">
        <f t="shared" si="28"/>
        <v>0</v>
      </c>
      <c r="H94" s="582">
        <f t="shared" si="28"/>
        <v>0</v>
      </c>
      <c r="I94" s="582">
        <f t="shared" si="28"/>
        <v>8</v>
      </c>
      <c r="J94" s="582">
        <f t="shared" si="28"/>
        <v>3</v>
      </c>
      <c r="K94" s="582">
        <f t="shared" si="28"/>
        <v>2</v>
      </c>
      <c r="L94" s="582">
        <f t="shared" si="28"/>
        <v>3</v>
      </c>
      <c r="M94" s="582">
        <f t="shared" si="28"/>
        <v>12</v>
      </c>
      <c r="N94" s="582">
        <f t="shared" si="28"/>
        <v>0</v>
      </c>
      <c r="O94" s="582">
        <f t="shared" si="28"/>
        <v>0</v>
      </c>
      <c r="P94" s="582">
        <f t="shared" si="28"/>
        <v>0</v>
      </c>
      <c r="Q94" s="582">
        <f t="shared" si="28"/>
        <v>22</v>
      </c>
      <c r="R94" s="583">
        <f>SUM(R89:R93)</f>
        <v>50</v>
      </c>
    </row>
    <row r="95" spans="1:18" x14ac:dyDescent="0.2">
      <c r="A95" s="586" t="s">
        <v>429</v>
      </c>
      <c r="B95" s="587"/>
      <c r="C95" s="588"/>
      <c r="D95" s="589">
        <f t="shared" ref="D95:Q95" si="29">D88+D94</f>
        <v>0</v>
      </c>
      <c r="E95" s="590">
        <f t="shared" si="29"/>
        <v>0</v>
      </c>
      <c r="F95" s="590">
        <f t="shared" si="29"/>
        <v>0</v>
      </c>
      <c r="G95" s="590">
        <f t="shared" si="29"/>
        <v>0</v>
      </c>
      <c r="H95" s="590">
        <f t="shared" si="29"/>
        <v>15</v>
      </c>
      <c r="I95" s="590">
        <f t="shared" si="29"/>
        <v>18</v>
      </c>
      <c r="J95" s="590">
        <f t="shared" si="29"/>
        <v>19</v>
      </c>
      <c r="K95" s="590">
        <f t="shared" si="29"/>
        <v>26</v>
      </c>
      <c r="L95" s="590">
        <f t="shared" si="29"/>
        <v>24</v>
      </c>
      <c r="M95" s="590">
        <f t="shared" si="29"/>
        <v>28</v>
      </c>
      <c r="N95" s="590">
        <f t="shared" si="29"/>
        <v>16</v>
      </c>
      <c r="O95" s="590">
        <f t="shared" si="29"/>
        <v>2</v>
      </c>
      <c r="P95" s="590">
        <f t="shared" si="29"/>
        <v>0</v>
      </c>
      <c r="Q95" s="590">
        <f t="shared" si="29"/>
        <v>44</v>
      </c>
      <c r="R95" s="591">
        <f>R88+R94</f>
        <v>192</v>
      </c>
    </row>
    <row r="96" spans="1:18" x14ac:dyDescent="0.2">
      <c r="A96" s="815" t="s">
        <v>392</v>
      </c>
      <c r="B96" s="818" t="s">
        <v>353</v>
      </c>
      <c r="C96" s="592" t="s">
        <v>414</v>
      </c>
      <c r="D96" s="593"/>
      <c r="E96" s="594"/>
      <c r="F96" s="594"/>
      <c r="G96" s="594"/>
      <c r="H96" s="594"/>
      <c r="I96" s="594"/>
      <c r="J96" s="594"/>
      <c r="K96" s="594"/>
      <c r="L96" s="594"/>
      <c r="M96" s="594"/>
      <c r="N96" s="594"/>
      <c r="O96" s="594"/>
      <c r="P96" s="594"/>
      <c r="Q96" s="595">
        <f>IF('[4]02 Coeficientes'!$B$79="SIM",'[4]Aux.4.21 Frota atual rev'!W96,'[4]Aux.4.21 Frota atual rev'!U96)</f>
        <v>0</v>
      </c>
      <c r="R96" s="595">
        <f>SUM(D96:Q96)</f>
        <v>0</v>
      </c>
    </row>
    <row r="97" spans="1:18" x14ac:dyDescent="0.2">
      <c r="A97" s="816"/>
      <c r="B97" s="819"/>
      <c r="C97" s="596" t="s">
        <v>369</v>
      </c>
      <c r="D97" s="597"/>
      <c r="E97" s="598"/>
      <c r="F97" s="598"/>
      <c r="G97" s="598"/>
      <c r="H97" s="598"/>
      <c r="I97" s="598"/>
      <c r="J97" s="598"/>
      <c r="K97" s="598"/>
      <c r="L97" s="598">
        <v>1</v>
      </c>
      <c r="M97" s="598">
        <v>1</v>
      </c>
      <c r="N97" s="598">
        <v>6</v>
      </c>
      <c r="O97" s="598"/>
      <c r="P97" s="598"/>
      <c r="Q97" s="599">
        <f>IF('[4]02 Coeficientes'!$B$79="SIM",'[4]Aux.4.21 Frota atual rev'!W97,'[4]Aux.4.21 Frota atual rev'!U97)</f>
        <v>0</v>
      </c>
      <c r="R97" s="599">
        <f>SUM(D97:Q97)</f>
        <v>8</v>
      </c>
    </row>
    <row r="98" spans="1:18" x14ac:dyDescent="0.2">
      <c r="A98" s="816"/>
      <c r="B98" s="819"/>
      <c r="C98" s="596" t="s">
        <v>359</v>
      </c>
      <c r="D98" s="597"/>
      <c r="E98" s="598"/>
      <c r="F98" s="598"/>
      <c r="G98" s="598"/>
      <c r="H98" s="598"/>
      <c r="I98" s="598"/>
      <c r="J98" s="598">
        <v>6</v>
      </c>
      <c r="K98" s="598">
        <v>13</v>
      </c>
      <c r="L98" s="598">
        <v>10</v>
      </c>
      <c r="M98" s="598">
        <v>1</v>
      </c>
      <c r="N98" s="598"/>
      <c r="O98" s="598"/>
      <c r="P98" s="598"/>
      <c r="Q98" s="599">
        <f>IF('[4]02 Coeficientes'!$B$79="SIM",'[4]Aux.4.21 Frota atual rev'!W98,'[4]Aux.4.21 Frota atual rev'!U98)</f>
        <v>0</v>
      </c>
      <c r="R98" s="599">
        <f t="shared" ref="R98:R105" si="30">SUM(D98:Q98)</f>
        <v>30</v>
      </c>
    </row>
    <row r="99" spans="1:18" x14ac:dyDescent="0.2">
      <c r="A99" s="816"/>
      <c r="B99" s="819"/>
      <c r="C99" s="596" t="s">
        <v>360</v>
      </c>
      <c r="D99" s="597"/>
      <c r="E99" s="598"/>
      <c r="F99" s="598"/>
      <c r="G99" s="598"/>
      <c r="H99" s="598"/>
      <c r="I99" s="598"/>
      <c r="J99" s="598"/>
      <c r="K99" s="598">
        <v>6</v>
      </c>
      <c r="L99" s="598">
        <v>4</v>
      </c>
      <c r="M99" s="598">
        <v>8</v>
      </c>
      <c r="N99" s="598">
        <v>7</v>
      </c>
      <c r="O99" s="598"/>
      <c r="P99" s="598"/>
      <c r="Q99" s="599">
        <f>IF('[4]02 Coeficientes'!$B$79="SIM",'[4]Aux.4.21 Frota atual rev'!W99,'[4]Aux.4.21 Frota atual rev'!U99)</f>
        <v>0</v>
      </c>
      <c r="R99" s="599">
        <f t="shared" si="30"/>
        <v>25</v>
      </c>
    </row>
    <row r="100" spans="1:18" x14ac:dyDescent="0.2">
      <c r="A100" s="816"/>
      <c r="B100" s="819"/>
      <c r="C100" s="596" t="s">
        <v>361</v>
      </c>
      <c r="D100" s="597"/>
      <c r="E100" s="598"/>
      <c r="F100" s="598"/>
      <c r="G100" s="598"/>
      <c r="H100" s="598"/>
      <c r="I100" s="598"/>
      <c r="J100" s="598"/>
      <c r="K100" s="598"/>
      <c r="L100" s="598"/>
      <c r="M100" s="598"/>
      <c r="N100" s="598"/>
      <c r="O100" s="598"/>
      <c r="P100" s="598"/>
      <c r="Q100" s="599">
        <f>IF('[4]02 Coeficientes'!$B$79="SIM",'[4]Aux.4.21 Frota atual rev'!W100,'[4]Aux.4.21 Frota atual rev'!U100)</f>
        <v>0</v>
      </c>
      <c r="R100" s="599">
        <f t="shared" si="30"/>
        <v>0</v>
      </c>
    </row>
    <row r="101" spans="1:18" x14ac:dyDescent="0.2">
      <c r="A101" s="816"/>
      <c r="B101" s="819"/>
      <c r="C101" s="596" t="s">
        <v>362</v>
      </c>
      <c r="D101" s="597"/>
      <c r="E101" s="598"/>
      <c r="F101" s="598"/>
      <c r="G101" s="598"/>
      <c r="H101" s="598">
        <v>22</v>
      </c>
      <c r="I101" s="598">
        <v>14</v>
      </c>
      <c r="J101" s="598">
        <v>12</v>
      </c>
      <c r="K101" s="598"/>
      <c r="L101" s="598">
        <v>4</v>
      </c>
      <c r="M101" s="598">
        <v>8</v>
      </c>
      <c r="N101" s="598">
        <v>8</v>
      </c>
      <c r="O101" s="598"/>
      <c r="P101" s="598"/>
      <c r="Q101" s="599">
        <f>IF('[4]02 Coeficientes'!$B$79="SIM",'[4]Aux.4.21 Frota atual rev'!W101,'[4]Aux.4.21 Frota atual rev'!U101)</f>
        <v>0</v>
      </c>
      <c r="R101" s="599">
        <f t="shared" si="30"/>
        <v>68</v>
      </c>
    </row>
    <row r="102" spans="1:18" x14ac:dyDescent="0.2">
      <c r="A102" s="816"/>
      <c r="B102" s="819"/>
      <c r="C102" s="596" t="s">
        <v>409</v>
      </c>
      <c r="D102" s="597"/>
      <c r="E102" s="598"/>
      <c r="F102" s="598"/>
      <c r="G102" s="598"/>
      <c r="H102" s="598"/>
      <c r="I102" s="598"/>
      <c r="J102" s="598"/>
      <c r="K102" s="598"/>
      <c r="L102" s="598"/>
      <c r="M102" s="598"/>
      <c r="N102" s="598"/>
      <c r="O102" s="598"/>
      <c r="P102" s="598"/>
      <c r="Q102" s="599">
        <f>IF('[4]02 Coeficientes'!$B$79="SIM",'[4]Aux.4.21 Frota atual rev'!W102,'[4]Aux.4.21 Frota atual rev'!U102)</f>
        <v>0</v>
      </c>
      <c r="R102" s="599">
        <f t="shared" si="30"/>
        <v>0</v>
      </c>
    </row>
    <row r="103" spans="1:18" x14ac:dyDescent="0.2">
      <c r="A103" s="816"/>
      <c r="B103" s="819"/>
      <c r="C103" s="600" t="s">
        <v>413</v>
      </c>
      <c r="D103" s="597"/>
      <c r="E103" s="598"/>
      <c r="F103" s="598"/>
      <c r="G103" s="598"/>
      <c r="H103" s="598"/>
      <c r="I103" s="598">
        <v>2</v>
      </c>
      <c r="J103" s="598"/>
      <c r="K103" s="598"/>
      <c r="L103" s="598"/>
      <c r="M103" s="598"/>
      <c r="N103" s="598"/>
      <c r="O103" s="598"/>
      <c r="P103" s="598"/>
      <c r="Q103" s="599">
        <f>IF('[4]02 Coeficientes'!$B$79="SIM",'[4]Aux.4.21 Frota atual rev'!W103,'[4]Aux.4.21 Frota atual rev'!U103)</f>
        <v>0</v>
      </c>
      <c r="R103" s="599">
        <f t="shared" si="30"/>
        <v>2</v>
      </c>
    </row>
    <row r="104" spans="1:18" x14ac:dyDescent="0.2">
      <c r="A104" s="816"/>
      <c r="B104" s="819"/>
      <c r="C104" s="596" t="s">
        <v>364</v>
      </c>
      <c r="D104" s="597"/>
      <c r="E104" s="598"/>
      <c r="F104" s="598"/>
      <c r="G104" s="598"/>
      <c r="H104" s="598"/>
      <c r="I104" s="598"/>
      <c r="J104" s="598">
        <v>1</v>
      </c>
      <c r="K104" s="598"/>
      <c r="L104" s="598"/>
      <c r="M104" s="598"/>
      <c r="N104" s="598">
        <v>1</v>
      </c>
      <c r="O104" s="598"/>
      <c r="P104" s="598"/>
      <c r="Q104" s="599">
        <f>IF('[4]02 Coeficientes'!$B$79="SIM",'[4]Aux.4.21 Frota atual rev'!W104,'[4]Aux.4.21 Frota atual rev'!U104)</f>
        <v>0</v>
      </c>
      <c r="R104" s="599">
        <f t="shared" si="30"/>
        <v>2</v>
      </c>
    </row>
    <row r="105" spans="1:18" x14ac:dyDescent="0.2">
      <c r="A105" s="816"/>
      <c r="B105" s="820"/>
      <c r="C105" s="596" t="s">
        <v>365</v>
      </c>
      <c r="D105" s="601"/>
      <c r="E105" s="602"/>
      <c r="F105" s="602"/>
      <c r="G105" s="602"/>
      <c r="H105" s="602"/>
      <c r="I105" s="602"/>
      <c r="J105" s="602"/>
      <c r="K105" s="602"/>
      <c r="L105" s="602"/>
      <c r="M105" s="602">
        <v>3</v>
      </c>
      <c r="N105" s="602">
        <v>2</v>
      </c>
      <c r="O105" s="602">
        <v>3</v>
      </c>
      <c r="P105" s="602"/>
      <c r="Q105" s="603">
        <f>IF('[4]02 Coeficientes'!$B$79="SIM",'[4]Aux.4.21 Frota atual rev'!W105,'[4]Aux.4.21 Frota atual rev'!U105)</f>
        <v>0</v>
      </c>
      <c r="R105" s="599">
        <f t="shared" si="30"/>
        <v>8</v>
      </c>
    </row>
    <row r="106" spans="1:18" x14ac:dyDescent="0.2">
      <c r="A106" s="816"/>
      <c r="B106" s="604" t="s">
        <v>410</v>
      </c>
      <c r="C106" s="605"/>
      <c r="D106" s="606">
        <f t="shared" ref="D106:Q106" si="31">SUM(D96:D105)</f>
        <v>0</v>
      </c>
      <c r="E106" s="606">
        <f t="shared" si="31"/>
        <v>0</v>
      </c>
      <c r="F106" s="606">
        <f t="shared" si="31"/>
        <v>0</v>
      </c>
      <c r="G106" s="606">
        <f t="shared" si="31"/>
        <v>0</v>
      </c>
      <c r="H106" s="606">
        <f t="shared" si="31"/>
        <v>22</v>
      </c>
      <c r="I106" s="606">
        <f t="shared" si="31"/>
        <v>16</v>
      </c>
      <c r="J106" s="606">
        <f t="shared" si="31"/>
        <v>19</v>
      </c>
      <c r="K106" s="606">
        <f t="shared" si="31"/>
        <v>19</v>
      </c>
      <c r="L106" s="606">
        <f t="shared" si="31"/>
        <v>19</v>
      </c>
      <c r="M106" s="606">
        <f t="shared" si="31"/>
        <v>21</v>
      </c>
      <c r="N106" s="606">
        <f t="shared" si="31"/>
        <v>24</v>
      </c>
      <c r="O106" s="606">
        <f t="shared" si="31"/>
        <v>3</v>
      </c>
      <c r="P106" s="606">
        <f t="shared" si="31"/>
        <v>0</v>
      </c>
      <c r="Q106" s="606">
        <f t="shared" si="31"/>
        <v>0</v>
      </c>
      <c r="R106" s="607">
        <f>SUM(R96:R105)</f>
        <v>143</v>
      </c>
    </row>
    <row r="107" spans="1:18" x14ac:dyDescent="0.2">
      <c r="A107" s="816"/>
      <c r="B107" s="821" t="s">
        <v>354</v>
      </c>
      <c r="C107" s="596" t="s">
        <v>359</v>
      </c>
      <c r="D107" s="593"/>
      <c r="E107" s="594"/>
      <c r="F107" s="594"/>
      <c r="G107" s="594"/>
      <c r="H107" s="594"/>
      <c r="I107" s="594">
        <v>7</v>
      </c>
      <c r="J107" s="594">
        <v>2</v>
      </c>
      <c r="K107" s="594"/>
      <c r="L107" s="594">
        <v>1</v>
      </c>
      <c r="M107" s="594">
        <v>5</v>
      </c>
      <c r="N107" s="594"/>
      <c r="O107" s="594"/>
      <c r="P107" s="594"/>
      <c r="Q107" s="595">
        <f>IF('[4]02 Coeficientes'!$B$79="SIM",'[4]Aux.4.21 Frota atual rev'!W107,'[4]Aux.4.21 Frota atual rev'!U107)</f>
        <v>26</v>
      </c>
      <c r="R107" s="608">
        <f>SUM(D107:Q107)</f>
        <v>41</v>
      </c>
    </row>
    <row r="108" spans="1:18" x14ac:dyDescent="0.2">
      <c r="A108" s="816"/>
      <c r="B108" s="819"/>
      <c r="C108" s="596" t="s">
        <v>360</v>
      </c>
      <c r="D108" s="597"/>
      <c r="E108" s="598"/>
      <c r="F108" s="598"/>
      <c r="G108" s="598"/>
      <c r="H108" s="598"/>
      <c r="I108" s="598"/>
      <c r="J108" s="598"/>
      <c r="K108" s="598"/>
      <c r="L108" s="598">
        <v>2</v>
      </c>
      <c r="M108" s="598">
        <v>4</v>
      </c>
      <c r="N108" s="598">
        <v>1</v>
      </c>
      <c r="O108" s="598"/>
      <c r="P108" s="598"/>
      <c r="Q108" s="599">
        <f>IF('[4]02 Coeficientes'!$B$79="SIM",'[4]Aux.4.21 Frota atual rev'!W108,'[4]Aux.4.21 Frota atual rev'!U108)</f>
        <v>0</v>
      </c>
      <c r="R108" s="599">
        <f>SUM(D108:Q108)</f>
        <v>7</v>
      </c>
    </row>
    <row r="109" spans="1:18" x14ac:dyDescent="0.2">
      <c r="A109" s="816"/>
      <c r="B109" s="819"/>
      <c r="C109" s="596" t="s">
        <v>361</v>
      </c>
      <c r="D109" s="597"/>
      <c r="E109" s="598"/>
      <c r="F109" s="598"/>
      <c r="G109" s="598"/>
      <c r="H109" s="598"/>
      <c r="I109" s="598"/>
      <c r="J109" s="598"/>
      <c r="K109" s="598"/>
      <c r="L109" s="598"/>
      <c r="M109" s="598"/>
      <c r="N109" s="598"/>
      <c r="O109" s="598"/>
      <c r="P109" s="598"/>
      <c r="Q109" s="599">
        <f>IF('[4]02 Coeficientes'!$B$79="SIM",'[4]Aux.4.21 Frota atual rev'!W109,'[4]Aux.4.21 Frota atual rev'!U109)</f>
        <v>0</v>
      </c>
      <c r="R109" s="599">
        <f t="shared" ref="R109:R113" si="32">SUM(D109:Q109)</f>
        <v>0</v>
      </c>
    </row>
    <row r="110" spans="1:18" x14ac:dyDescent="0.2">
      <c r="A110" s="816"/>
      <c r="B110" s="819"/>
      <c r="C110" s="596" t="s">
        <v>362</v>
      </c>
      <c r="D110" s="597"/>
      <c r="E110" s="598"/>
      <c r="F110" s="598"/>
      <c r="G110" s="598"/>
      <c r="H110" s="598"/>
      <c r="I110" s="598"/>
      <c r="J110" s="598"/>
      <c r="K110" s="598"/>
      <c r="L110" s="598"/>
      <c r="M110" s="598"/>
      <c r="N110" s="598"/>
      <c r="O110" s="598"/>
      <c r="P110" s="598"/>
      <c r="Q110" s="599">
        <f>IF('[4]02 Coeficientes'!$B$79="SIM",'[4]Aux.4.21 Frota atual rev'!W110,'[4]Aux.4.21 Frota atual rev'!U110)</f>
        <v>1</v>
      </c>
      <c r="R110" s="599">
        <f t="shared" si="32"/>
        <v>1</v>
      </c>
    </row>
    <row r="111" spans="1:18" x14ac:dyDescent="0.2">
      <c r="A111" s="816"/>
      <c r="B111" s="819"/>
      <c r="C111" s="596" t="s">
        <v>369</v>
      </c>
      <c r="D111" s="597"/>
      <c r="E111" s="598"/>
      <c r="F111" s="598"/>
      <c r="G111" s="598"/>
      <c r="H111" s="598"/>
      <c r="I111" s="598"/>
      <c r="J111" s="598"/>
      <c r="K111" s="598"/>
      <c r="L111" s="598"/>
      <c r="M111" s="598"/>
      <c r="N111" s="598"/>
      <c r="O111" s="598"/>
      <c r="P111" s="598"/>
      <c r="Q111" s="599">
        <f>IF('[4]02 Coeficientes'!$B$79="SIM",'[4]Aux.4.21 Frota atual rev'!W111,'[4]Aux.4.21 Frota atual rev'!U111)</f>
        <v>3</v>
      </c>
      <c r="R111" s="599">
        <f t="shared" si="32"/>
        <v>3</v>
      </c>
    </row>
    <row r="112" spans="1:18" x14ac:dyDescent="0.2">
      <c r="A112" s="816"/>
      <c r="B112" s="819"/>
      <c r="C112" s="600" t="s">
        <v>408</v>
      </c>
      <c r="D112" s="597"/>
      <c r="E112" s="598"/>
      <c r="F112" s="598"/>
      <c r="G112" s="598"/>
      <c r="H112" s="598"/>
      <c r="I112" s="598"/>
      <c r="J112" s="598"/>
      <c r="K112" s="598"/>
      <c r="L112" s="598"/>
      <c r="M112" s="598"/>
      <c r="N112" s="598"/>
      <c r="O112" s="598"/>
      <c r="P112" s="598"/>
      <c r="Q112" s="599">
        <f>IF('[4]02 Coeficientes'!$B$79="SIM",'[4]Aux.4.21 Frota atual rev'!W112,'[4]Aux.4.21 Frota atual rev'!U112)</f>
        <v>1</v>
      </c>
      <c r="R112" s="599">
        <f t="shared" si="32"/>
        <v>1</v>
      </c>
    </row>
    <row r="113" spans="1:18" x14ac:dyDescent="0.2">
      <c r="A113" s="816"/>
      <c r="B113" s="820"/>
      <c r="C113" s="596" t="s">
        <v>373</v>
      </c>
      <c r="D113" s="601"/>
      <c r="E113" s="602"/>
      <c r="F113" s="602"/>
      <c r="G113" s="602"/>
      <c r="H113" s="602"/>
      <c r="I113" s="602"/>
      <c r="J113" s="602"/>
      <c r="K113" s="602"/>
      <c r="L113" s="602"/>
      <c r="M113" s="602"/>
      <c r="N113" s="602"/>
      <c r="O113" s="602"/>
      <c r="P113" s="602">
        <v>1</v>
      </c>
      <c r="Q113" s="603">
        <f>IF('[4]02 Coeficientes'!$B$79="SIM",'[4]Aux.4.21 Frota atual rev'!W113,'[4]Aux.4.21 Frota atual rev'!U113)</f>
        <v>0</v>
      </c>
      <c r="R113" s="599">
        <f t="shared" si="32"/>
        <v>1</v>
      </c>
    </row>
    <row r="114" spans="1:18" x14ac:dyDescent="0.2">
      <c r="A114" s="817"/>
      <c r="B114" s="604" t="s">
        <v>411</v>
      </c>
      <c r="C114" s="609">
        <f>R114/R115</f>
        <v>0.27411167512690354</v>
      </c>
      <c r="D114" s="606">
        <f t="shared" ref="D114:Q114" si="33">SUM(D107:D113)</f>
        <v>0</v>
      </c>
      <c r="E114" s="606">
        <f t="shared" si="33"/>
        <v>0</v>
      </c>
      <c r="F114" s="606">
        <f t="shared" si="33"/>
        <v>0</v>
      </c>
      <c r="G114" s="606">
        <f t="shared" si="33"/>
        <v>0</v>
      </c>
      <c r="H114" s="606">
        <f t="shared" si="33"/>
        <v>0</v>
      </c>
      <c r="I114" s="606">
        <f t="shared" si="33"/>
        <v>7</v>
      </c>
      <c r="J114" s="606">
        <f t="shared" si="33"/>
        <v>2</v>
      </c>
      <c r="K114" s="606">
        <f t="shared" si="33"/>
        <v>0</v>
      </c>
      <c r="L114" s="606">
        <f t="shared" si="33"/>
        <v>3</v>
      </c>
      <c r="M114" s="606">
        <f t="shared" si="33"/>
        <v>9</v>
      </c>
      <c r="N114" s="606">
        <f t="shared" si="33"/>
        <v>1</v>
      </c>
      <c r="O114" s="606">
        <f t="shared" si="33"/>
        <v>0</v>
      </c>
      <c r="P114" s="606">
        <f t="shared" si="33"/>
        <v>1</v>
      </c>
      <c r="Q114" s="606">
        <f t="shared" si="33"/>
        <v>31</v>
      </c>
      <c r="R114" s="607">
        <f>SUM(R107:R113)</f>
        <v>54</v>
      </c>
    </row>
    <row r="115" spans="1:18" x14ac:dyDescent="0.2">
      <c r="A115" s="610" t="s">
        <v>430</v>
      </c>
      <c r="B115" s="611"/>
      <c r="C115" s="612"/>
      <c r="D115" s="613">
        <f t="shared" ref="D115:Q115" si="34">D106+D114</f>
        <v>0</v>
      </c>
      <c r="E115" s="614">
        <f t="shared" si="34"/>
        <v>0</v>
      </c>
      <c r="F115" s="614">
        <f t="shared" si="34"/>
        <v>0</v>
      </c>
      <c r="G115" s="614">
        <f t="shared" si="34"/>
        <v>0</v>
      </c>
      <c r="H115" s="614">
        <f t="shared" si="34"/>
        <v>22</v>
      </c>
      <c r="I115" s="614">
        <f t="shared" si="34"/>
        <v>23</v>
      </c>
      <c r="J115" s="614">
        <f t="shared" si="34"/>
        <v>21</v>
      </c>
      <c r="K115" s="614">
        <f t="shared" si="34"/>
        <v>19</v>
      </c>
      <c r="L115" s="614">
        <f t="shared" si="34"/>
        <v>22</v>
      </c>
      <c r="M115" s="614">
        <f t="shared" si="34"/>
        <v>30</v>
      </c>
      <c r="N115" s="614">
        <f t="shared" si="34"/>
        <v>25</v>
      </c>
      <c r="O115" s="614">
        <f t="shared" si="34"/>
        <v>3</v>
      </c>
      <c r="P115" s="614">
        <f t="shared" si="34"/>
        <v>1</v>
      </c>
      <c r="Q115" s="614">
        <f t="shared" si="34"/>
        <v>31</v>
      </c>
      <c r="R115" s="615">
        <f>R106+R114</f>
        <v>197</v>
      </c>
    </row>
    <row r="116" spans="1:18" ht="25.5" x14ac:dyDescent="0.2">
      <c r="A116" s="616" t="s">
        <v>431</v>
      </c>
      <c r="B116" s="617" t="s">
        <v>353</v>
      </c>
      <c r="C116" s="618"/>
      <c r="D116" s="619">
        <f>D10+D27+D38+D54+D71+D88+D106</f>
        <v>0</v>
      </c>
      <c r="E116" s="620">
        <f t="shared" ref="E116:Q116" si="35">E10+E27+E38+E54+E71+E88+E106</f>
        <v>0</v>
      </c>
      <c r="F116" s="620">
        <f t="shared" si="35"/>
        <v>0</v>
      </c>
      <c r="G116" s="620">
        <f t="shared" si="35"/>
        <v>0</v>
      </c>
      <c r="H116" s="620">
        <f t="shared" si="35"/>
        <v>161</v>
      </c>
      <c r="I116" s="620">
        <f t="shared" si="35"/>
        <v>158</v>
      </c>
      <c r="J116" s="620">
        <f t="shared" si="35"/>
        <v>187</v>
      </c>
      <c r="K116" s="620">
        <f t="shared" si="35"/>
        <v>150</v>
      </c>
      <c r="L116" s="620">
        <f t="shared" si="35"/>
        <v>145</v>
      </c>
      <c r="M116" s="620">
        <f t="shared" si="35"/>
        <v>169</v>
      </c>
      <c r="N116" s="620">
        <f t="shared" si="35"/>
        <v>105</v>
      </c>
      <c r="O116" s="620">
        <f t="shared" si="35"/>
        <v>16</v>
      </c>
      <c r="P116" s="620">
        <f t="shared" si="35"/>
        <v>0</v>
      </c>
      <c r="Q116" s="621">
        <f t="shared" si="35"/>
        <v>52</v>
      </c>
      <c r="R116" s="622">
        <f>SUM(D116:Q116)</f>
        <v>1143</v>
      </c>
    </row>
    <row r="117" spans="1:18" ht="25.5" x14ac:dyDescent="0.2">
      <c r="A117" s="623" t="s">
        <v>431</v>
      </c>
      <c r="B117" s="617" t="s">
        <v>354</v>
      </c>
      <c r="C117" s="624">
        <f>R117/R118</f>
        <v>0.33118782913984784</v>
      </c>
      <c r="D117" s="625">
        <f>D20+D31+D42+D59+D76+D94+D114</f>
        <v>0</v>
      </c>
      <c r="E117" s="626">
        <f t="shared" ref="E117:Q117" si="36">E20+E31+E42+E59+E76+E94+E114</f>
        <v>0</v>
      </c>
      <c r="F117" s="626">
        <f t="shared" si="36"/>
        <v>0</v>
      </c>
      <c r="G117" s="626">
        <f t="shared" si="36"/>
        <v>0</v>
      </c>
      <c r="H117" s="626">
        <f t="shared" si="36"/>
        <v>0</v>
      </c>
      <c r="I117" s="626">
        <f t="shared" si="36"/>
        <v>23</v>
      </c>
      <c r="J117" s="626">
        <f t="shared" si="36"/>
        <v>27</v>
      </c>
      <c r="K117" s="626">
        <f t="shared" si="36"/>
        <v>35</v>
      </c>
      <c r="L117" s="626">
        <f t="shared" si="36"/>
        <v>114</v>
      </c>
      <c r="M117" s="626">
        <f t="shared" si="36"/>
        <v>64</v>
      </c>
      <c r="N117" s="626">
        <f t="shared" si="36"/>
        <v>33</v>
      </c>
      <c r="O117" s="626">
        <f t="shared" si="36"/>
        <v>14</v>
      </c>
      <c r="P117" s="626">
        <f t="shared" si="36"/>
        <v>1</v>
      </c>
      <c r="Q117" s="622">
        <f t="shared" si="36"/>
        <v>255</v>
      </c>
      <c r="R117" s="622">
        <f>SUM(D117:Q117)</f>
        <v>566</v>
      </c>
    </row>
    <row r="118" spans="1:18" x14ac:dyDescent="0.2">
      <c r="A118" s="627" t="s">
        <v>431</v>
      </c>
      <c r="B118" s="628"/>
      <c r="C118" s="629"/>
      <c r="D118" s="630">
        <f>D116+D117</f>
        <v>0</v>
      </c>
      <c r="E118" s="631">
        <f>E116+E117</f>
        <v>0</v>
      </c>
      <c r="F118" s="631">
        <f t="shared" ref="F118:Q118" si="37">F116+F117</f>
        <v>0</v>
      </c>
      <c r="G118" s="631">
        <f t="shared" si="37"/>
        <v>0</v>
      </c>
      <c r="H118" s="631">
        <f t="shared" si="37"/>
        <v>161</v>
      </c>
      <c r="I118" s="631">
        <f t="shared" si="37"/>
        <v>181</v>
      </c>
      <c r="J118" s="631">
        <f t="shared" si="37"/>
        <v>214</v>
      </c>
      <c r="K118" s="631">
        <f t="shared" si="37"/>
        <v>185</v>
      </c>
      <c r="L118" s="631">
        <f t="shared" si="37"/>
        <v>259</v>
      </c>
      <c r="M118" s="631">
        <f t="shared" si="37"/>
        <v>233</v>
      </c>
      <c r="N118" s="631">
        <f t="shared" si="37"/>
        <v>138</v>
      </c>
      <c r="O118" s="631">
        <f t="shared" si="37"/>
        <v>30</v>
      </c>
      <c r="P118" s="631">
        <f t="shared" si="37"/>
        <v>1</v>
      </c>
      <c r="Q118" s="631">
        <f t="shared" si="37"/>
        <v>307</v>
      </c>
      <c r="R118" s="632">
        <f>R116+R117</f>
        <v>1709</v>
      </c>
    </row>
  </sheetData>
  <sheetProtection password="DB60" sheet="1" objects="1" scenarios="1"/>
  <mergeCells count="21">
    <mergeCell ref="A4:A20"/>
    <mergeCell ref="B4:B9"/>
    <mergeCell ref="B11:B19"/>
    <mergeCell ref="A22:A31"/>
    <mergeCell ref="B22:B26"/>
    <mergeCell ref="B28:B30"/>
    <mergeCell ref="A33:A42"/>
    <mergeCell ref="B33:B37"/>
    <mergeCell ref="B39:B41"/>
    <mergeCell ref="A44:A59"/>
    <mergeCell ref="B44:B53"/>
    <mergeCell ref="B55:B58"/>
    <mergeCell ref="A96:A114"/>
    <mergeCell ref="B96:B105"/>
    <mergeCell ref="B107:B113"/>
    <mergeCell ref="A61:A76"/>
    <mergeCell ref="B61:B70"/>
    <mergeCell ref="B72:B75"/>
    <mergeCell ref="A78:A94"/>
    <mergeCell ref="B78:B87"/>
    <mergeCell ref="B89:B93"/>
  </mergeCells>
  <pageMargins left="0.19685039370078741" right="0.19685039370078741" top="0.27559055118110237" bottom="0.27559055118110237" header="0.19685039370078741" footer="0.19685039370078741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21</vt:i4>
      </vt:variant>
      <vt:variant>
        <vt:lpstr>Intervalos nomeados</vt:lpstr>
      </vt:variant>
      <vt:variant>
        <vt:i4>7</vt:i4>
      </vt:variant>
    </vt:vector>
  </HeadingPairs>
  <TitlesOfParts>
    <vt:vector size="28" baseType="lpstr">
      <vt:lpstr>Instruções iniciais</vt:lpstr>
      <vt:lpstr>Tarifa Teto Calculada</vt:lpstr>
      <vt:lpstr>01 Preços</vt:lpstr>
      <vt:lpstr>02 Coeficientes</vt:lpstr>
      <vt:lpstr>03 Dados_Oper</vt:lpstr>
      <vt:lpstr>04 Frota</vt:lpstr>
      <vt:lpstr>05 CustVar</vt:lpstr>
      <vt:lpstr>06 CustPeças&amp;Aces</vt:lpstr>
      <vt:lpstr>07 Deprec.</vt:lpstr>
      <vt:lpstr>08 Remun.</vt:lpstr>
      <vt:lpstr>09 CustosPessoal</vt:lpstr>
      <vt:lpstr>10 CustosAdmin</vt:lpstr>
      <vt:lpstr>Aux.02.01 Coef_Depr</vt:lpstr>
      <vt:lpstr>Aux.02.02 Coef_Remun</vt:lpstr>
      <vt:lpstr>Aux.02.03 Ativo Imobilizado</vt:lpstr>
      <vt:lpstr>Aux.02.04 Terrenos</vt:lpstr>
      <vt:lpstr>Aux.02.05 Almoxarifado</vt:lpstr>
      <vt:lpstr>Aux.02.06 Invest_inicial</vt:lpstr>
      <vt:lpstr>Aux.04.01 Frota atual</vt:lpstr>
      <vt:lpstr>Aux.04.02 Frota necessária</vt:lpstr>
      <vt:lpstr>Aux.04.03 Frota início oper</vt:lpstr>
      <vt:lpstr>'01 Preços'!Area_de_impressao</vt:lpstr>
      <vt:lpstr>'02 Coeficientes'!Area_de_impressao</vt:lpstr>
      <vt:lpstr>'03 Dados_Oper'!Area_de_impressao</vt:lpstr>
      <vt:lpstr>'Aux.02.01 Coef_Depr'!Area_de_impressao</vt:lpstr>
      <vt:lpstr>'Aux.02.02 Coef_Remun'!Area_de_impressao</vt:lpstr>
      <vt:lpstr>'Aux.02.06 Invest_inicial'!Area_de_impressao</vt:lpstr>
      <vt:lpstr>'Tarifa Teto Calculada'!Area_de_impressao</vt:lpstr>
    </vt:vector>
  </TitlesOfParts>
  <Company>PMPA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MSAUERESSIG</dc:creator>
  <cp:lastModifiedBy>MSAUERESSIG</cp:lastModifiedBy>
  <cp:lastPrinted>2015-04-27T18:09:29Z</cp:lastPrinted>
  <dcterms:created xsi:type="dcterms:W3CDTF">2013-11-07T13:39:17Z</dcterms:created>
  <dcterms:modified xsi:type="dcterms:W3CDTF">2015-04-27T19:58:30Z</dcterms:modified>
</cp:coreProperties>
</file>