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3825" windowWidth="20610" windowHeight="6600" tabRatio="794" activeTab="0"/>
  </bookViews>
  <sheets>
    <sheet name="MEMÓRIA DE CÁLCULO" sheetId="1" r:id="rId1"/>
    <sheet name="CALCULO HIDRO" sheetId="2" r:id="rId2"/>
  </sheets>
  <definedNames>
    <definedName name="_xlnm.Print_Area" localSheetId="0">'MEMÓRIA DE CÁLCULO'!$A$1:$L$305</definedName>
    <definedName name="_xlnm.Print_Titles" localSheetId="0">'MEMÓRIA DE CÁLCULO'!$1:$4</definedName>
  </definedNames>
  <calcPr fullCalcOnLoad="1"/>
</workbook>
</file>

<file path=xl/sharedStrings.xml><?xml version="1.0" encoding="utf-8"?>
<sst xmlns="http://schemas.openxmlformats.org/spreadsheetml/2006/main" count="1362" uniqueCount="758">
  <si>
    <t>MOVIMENTO DE TERRA</t>
  </si>
  <si>
    <t>INSTALAÇÕES HIDROSSANITÁRIAS</t>
  </si>
  <si>
    <t>1.1</t>
  </si>
  <si>
    <t>1.2</t>
  </si>
  <si>
    <t>1.3</t>
  </si>
  <si>
    <t>1.4</t>
  </si>
  <si>
    <t>1.5</t>
  </si>
  <si>
    <t>1.6</t>
  </si>
  <si>
    <t>1.7</t>
  </si>
  <si>
    <t>2.2</t>
  </si>
  <si>
    <t>3.1</t>
  </si>
  <si>
    <t>3.2</t>
  </si>
  <si>
    <t>3.3</t>
  </si>
  <si>
    <t>3.4</t>
  </si>
  <si>
    <t>3.5</t>
  </si>
  <si>
    <t>3.6</t>
  </si>
  <si>
    <t>ESGOTO CLOACAL</t>
  </si>
  <si>
    <t>ESGOTO PLUVIAL</t>
  </si>
  <si>
    <t>MEMÓRIA DE CÁLCULO</t>
  </si>
  <si>
    <t>Qd.</t>
  </si>
  <si>
    <t>Dimensões</t>
  </si>
  <si>
    <t>Total</t>
  </si>
  <si>
    <t>Unid.</t>
  </si>
  <si>
    <t>larg.(m)</t>
  </si>
  <si>
    <t>altura(m)</t>
  </si>
  <si>
    <t>compr(m).</t>
  </si>
  <si>
    <t xml:space="preserve">área(m2) </t>
  </si>
  <si>
    <t>4.1</t>
  </si>
  <si>
    <t>4.2</t>
  </si>
  <si>
    <t>compr.(m)</t>
  </si>
  <si>
    <t>área(m2)</t>
  </si>
  <si>
    <t>vol.(m3)</t>
  </si>
  <si>
    <t>ARMADURA BLOCO/VIGA = 0,245kg/m</t>
  </si>
  <si>
    <t>ARMADURA ESPERA BLOCO/VIGA = 0,617kg/m</t>
  </si>
  <si>
    <t>kg</t>
  </si>
  <si>
    <t>taxa(kg/m)</t>
  </si>
  <si>
    <t>CAIXA D´ÁGUA EM POLIETILENO, 1000 LITROS, COM ACESSÓRIOS</t>
  </si>
  <si>
    <t>M2</t>
  </si>
  <si>
    <t>UN</t>
  </si>
  <si>
    <t>M</t>
  </si>
  <si>
    <t>M3</t>
  </si>
  <si>
    <t>M3XKM</t>
  </si>
  <si>
    <t>VIGIA NOTURNO COM ENCARGOS COMPLEMENTARES</t>
  </si>
  <si>
    <t>LIMPEZA GERAL E ENTREGA DA OBRA</t>
  </si>
  <si>
    <t>1.8</t>
  </si>
  <si>
    <t>1.9</t>
  </si>
  <si>
    <t>1.10</t>
  </si>
  <si>
    <t>1.11</t>
  </si>
  <si>
    <t>1.12</t>
  </si>
  <si>
    <t>CÁLCULO-OK</t>
  </si>
  <si>
    <t>FALTA CALCULAR</t>
  </si>
  <si>
    <t>5.1</t>
  </si>
  <si>
    <t>5.2</t>
  </si>
  <si>
    <t>5.3</t>
  </si>
  <si>
    <t>ML</t>
  </si>
  <si>
    <t>ESQUADRIAS, FERRAGENS E FECHADURAS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</si>
  <si>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</si>
  <si>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</si>
  <si>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</si>
  <si>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</si>
  <si>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</si>
  <si>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</si>
  <si>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</si>
  <si>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</si>
  <si>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</si>
  <si>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</si>
  <si>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KG</t>
  </si>
  <si>
    <r>
      <t>LOCAL:</t>
    </r>
    <r>
      <rPr>
        <sz val="12"/>
        <color indexed="8"/>
        <rFont val="Arial"/>
        <family val="2"/>
      </rPr>
      <t xml:space="preserve">  Rua Paulo Maciel, nº 220  - Bairro: CAVALHADA - Porto Alegre/RS </t>
    </r>
  </si>
  <si>
    <r>
      <t xml:space="preserve">SERVIÇO: </t>
    </r>
    <r>
      <rPr>
        <sz val="12"/>
        <color indexed="8"/>
        <rFont val="Arial"/>
        <family val="2"/>
      </rPr>
      <t>Execução do Centro de Convivênca COHAB CAVALHADA</t>
    </r>
  </si>
  <si>
    <t>MEMÓRIA DE CÁLCULO QUANTITATIVO HIDROSSANITÁRIO</t>
  </si>
  <si>
    <t>Comercial</t>
  </si>
  <si>
    <t>AGUA</t>
  </si>
  <si>
    <t>RegGav.(3/4")</t>
  </si>
  <si>
    <t>RegGav.(1")</t>
  </si>
  <si>
    <t>Adp.(40mm-11/4")</t>
  </si>
  <si>
    <t>Subramais</t>
  </si>
  <si>
    <t xml:space="preserve">Vert. </t>
  </si>
  <si>
    <t>Horiz.</t>
  </si>
  <si>
    <t>15 (1/2")</t>
  </si>
  <si>
    <t xml:space="preserve">SAN PNE Masc. </t>
  </si>
  <si>
    <t>20 (3/4")</t>
  </si>
  <si>
    <t>SAN PNE Fem.</t>
  </si>
  <si>
    <t>25 (1")</t>
  </si>
  <si>
    <t>Sant.Funci.Masc</t>
  </si>
  <si>
    <t>32 ( 1 1/4")</t>
  </si>
  <si>
    <t>Sant.Funci. Fem.</t>
  </si>
  <si>
    <t>40 ( 1 1/2")</t>
  </si>
  <si>
    <t>Copa</t>
  </si>
  <si>
    <t>Bebedor</t>
  </si>
  <si>
    <t>Subtotal</t>
  </si>
  <si>
    <t>RESERVATÓRIO</t>
  </si>
  <si>
    <t>Reservatório</t>
  </si>
  <si>
    <t>CONEXÕES-RESER/BARR.</t>
  </si>
  <si>
    <t>Conexões barriletes</t>
  </si>
  <si>
    <t>CLOACAL - ENTERRADO</t>
  </si>
  <si>
    <r>
      <t xml:space="preserve">Tub </t>
    </r>
    <r>
      <rPr>
        <b/>
        <sz val="10"/>
        <color indexed="8"/>
        <rFont val="Arial"/>
        <family val="2"/>
      </rPr>
      <t xml:space="preserve">50 </t>
    </r>
  </si>
  <si>
    <t>VENTILAÇÃO</t>
  </si>
  <si>
    <t>PLUVIAL</t>
  </si>
  <si>
    <t>Compr.</t>
  </si>
  <si>
    <t>DRENAGEM</t>
  </si>
  <si>
    <t>Escavação</t>
  </si>
  <si>
    <t>Geotextil</t>
  </si>
  <si>
    <t>Tubo p/drenagem</t>
  </si>
  <si>
    <t>Camada Brita 2</t>
  </si>
  <si>
    <t>Reaterro</t>
  </si>
  <si>
    <t>Área de serviço</t>
  </si>
  <si>
    <t>TOTAL</t>
  </si>
  <si>
    <t>Bebedor  ?????</t>
  </si>
  <si>
    <t>Red.75x50</t>
  </si>
  <si>
    <t>Alim.Reservatório-hidrom</t>
  </si>
  <si>
    <r>
      <t>Tub 40</t>
    </r>
    <r>
      <rPr>
        <sz val="9"/>
        <color indexed="8"/>
        <rFont val="Arial"/>
        <family val="2"/>
      </rPr>
      <t xml:space="preserve"> </t>
    </r>
  </si>
  <si>
    <r>
      <t>Joel</t>
    </r>
    <r>
      <rPr>
        <sz val="9"/>
        <color indexed="12"/>
        <rFont val="Arial"/>
        <family val="2"/>
      </rPr>
      <t>(90)</t>
    </r>
    <r>
      <rPr>
        <b/>
        <sz val="9"/>
        <color indexed="8"/>
        <rFont val="Arial"/>
        <family val="2"/>
      </rPr>
      <t xml:space="preserve"> 40</t>
    </r>
  </si>
  <si>
    <r>
      <t>Joel</t>
    </r>
    <r>
      <rPr>
        <sz val="9"/>
        <color indexed="12"/>
        <rFont val="Arial"/>
        <family val="2"/>
      </rPr>
      <t>(45)</t>
    </r>
    <r>
      <rPr>
        <b/>
        <sz val="9"/>
        <color indexed="8"/>
        <rFont val="Arial"/>
        <family val="2"/>
      </rPr>
      <t>40</t>
    </r>
  </si>
  <si>
    <t>Limpeza reservatório</t>
  </si>
  <si>
    <r>
      <t>Tub 20</t>
    </r>
    <r>
      <rPr>
        <sz val="9"/>
        <color indexed="8"/>
        <rFont val="Arial"/>
        <family val="2"/>
      </rPr>
      <t xml:space="preserve"> </t>
    </r>
  </si>
  <si>
    <t>LIMPEZA RESERVATÓRIO- CALC-OK</t>
  </si>
  <si>
    <r>
      <rPr>
        <b/>
        <sz val="11"/>
        <color indexed="8"/>
        <rFont val="Arial"/>
        <family val="2"/>
      </rPr>
      <t xml:space="preserve">Ø </t>
    </r>
    <r>
      <rPr>
        <b/>
        <sz val="8"/>
        <color indexed="8"/>
        <rFont val="Arial"/>
        <family val="2"/>
      </rPr>
      <t xml:space="preserve">Nominal </t>
    </r>
  </si>
  <si>
    <r>
      <rPr>
        <b/>
        <sz val="11"/>
        <color indexed="8"/>
        <rFont val="Arial"/>
        <family val="2"/>
      </rPr>
      <t>Ø</t>
    </r>
    <r>
      <rPr>
        <b/>
        <sz val="12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Comercial PVC</t>
    </r>
  </si>
  <si>
    <t>TUB-25mm</t>
  </si>
  <si>
    <t>TE-25mm</t>
  </si>
  <si>
    <t>TUB-32mm</t>
  </si>
  <si>
    <t>TE-32mm</t>
  </si>
  <si>
    <t>TUBO-40mm</t>
  </si>
  <si>
    <r>
      <t>JOE</t>
    </r>
    <r>
      <rPr>
        <sz val="9"/>
        <color indexed="12"/>
        <rFont val="Arial"/>
        <family val="2"/>
      </rPr>
      <t>(90)-</t>
    </r>
    <r>
      <rPr>
        <b/>
        <sz val="9"/>
        <color indexed="10"/>
        <rFont val="Arial"/>
        <family val="2"/>
      </rPr>
      <t>40mm</t>
    </r>
  </si>
  <si>
    <r>
      <t>JOE</t>
    </r>
    <r>
      <rPr>
        <sz val="9"/>
        <color indexed="12"/>
        <rFont val="Arial"/>
        <family val="2"/>
      </rPr>
      <t>(90)</t>
    </r>
    <r>
      <rPr>
        <b/>
        <sz val="9"/>
        <color indexed="10"/>
        <rFont val="Arial"/>
        <family val="2"/>
      </rPr>
      <t>-25mm</t>
    </r>
  </si>
  <si>
    <r>
      <t>JOE</t>
    </r>
    <r>
      <rPr>
        <sz val="9"/>
        <color indexed="12"/>
        <rFont val="Arial"/>
        <family val="2"/>
      </rPr>
      <t>(90)</t>
    </r>
    <r>
      <rPr>
        <b/>
        <sz val="9"/>
        <color indexed="10"/>
        <rFont val="Arial"/>
        <family val="2"/>
      </rPr>
      <t>-32mm</t>
    </r>
  </si>
  <si>
    <r>
      <t>JOE</t>
    </r>
    <r>
      <rPr>
        <sz val="9"/>
        <color indexed="12"/>
        <rFont val="Arial"/>
        <family val="2"/>
      </rPr>
      <t>(45)</t>
    </r>
    <r>
      <rPr>
        <b/>
        <sz val="9"/>
        <color indexed="10"/>
        <rFont val="Arial"/>
        <family val="2"/>
      </rPr>
      <t>)-40mm</t>
    </r>
  </si>
  <si>
    <t>TE-40mm</t>
  </si>
  <si>
    <t>TUBO-32mm</t>
  </si>
  <si>
    <r>
      <t>JOE</t>
    </r>
    <r>
      <rPr>
        <sz val="9"/>
        <color indexed="12"/>
        <rFont val="Arial"/>
        <family val="2"/>
      </rPr>
      <t>(90)-</t>
    </r>
    <r>
      <rPr>
        <b/>
        <sz val="9"/>
        <color indexed="10"/>
        <rFont val="Arial"/>
        <family val="2"/>
      </rPr>
      <t>32mm</t>
    </r>
  </si>
  <si>
    <r>
      <t>JOE</t>
    </r>
    <r>
      <rPr>
        <sz val="9"/>
        <color indexed="12"/>
        <rFont val="Arial"/>
        <family val="2"/>
      </rPr>
      <t>(45)</t>
    </r>
    <r>
      <rPr>
        <b/>
        <sz val="9"/>
        <color indexed="10"/>
        <rFont val="Arial"/>
        <family val="2"/>
      </rPr>
      <t>)-32mm</t>
    </r>
  </si>
  <si>
    <t xml:space="preserve">Tub- 50 </t>
  </si>
  <si>
    <t>Caixa de inspeção Cloacal-Visita</t>
  </si>
  <si>
    <t>Caixa de inspeção Pluvial-Visita</t>
  </si>
  <si>
    <t>Te-75</t>
  </si>
  <si>
    <t>Te-100</t>
  </si>
  <si>
    <r>
      <t>Y</t>
    </r>
    <r>
      <rPr>
        <sz val="9"/>
        <color indexed="12"/>
        <rFont val="Arial"/>
        <family val="2"/>
      </rPr>
      <t>(45)</t>
    </r>
    <r>
      <rPr>
        <b/>
        <sz val="9"/>
        <color indexed="8"/>
        <rFont val="Arial"/>
        <family val="2"/>
      </rPr>
      <t>100</t>
    </r>
  </si>
  <si>
    <t>Red. 100x50</t>
  </si>
  <si>
    <r>
      <rPr>
        <b/>
        <sz val="9"/>
        <color indexed="10"/>
        <rFont val="Arial"/>
        <family val="2"/>
      </rPr>
      <t>Joel</t>
    </r>
    <r>
      <rPr>
        <sz val="9"/>
        <color indexed="12"/>
        <rFont val="Arial"/>
        <family val="2"/>
      </rPr>
      <t>(90)</t>
    </r>
    <r>
      <rPr>
        <b/>
        <sz val="9"/>
        <color indexed="10"/>
        <rFont val="Arial"/>
        <family val="2"/>
      </rPr>
      <t xml:space="preserve"> 50</t>
    </r>
  </si>
  <si>
    <r>
      <rPr>
        <b/>
        <sz val="9"/>
        <color indexed="10"/>
        <rFont val="Arial"/>
        <family val="2"/>
      </rPr>
      <t>Joel</t>
    </r>
    <r>
      <rPr>
        <sz val="9"/>
        <color indexed="12"/>
        <rFont val="Arial"/>
        <family val="2"/>
      </rPr>
      <t>(90)-</t>
    </r>
    <r>
      <rPr>
        <b/>
        <sz val="9"/>
        <color indexed="10"/>
        <rFont val="Arial"/>
        <family val="2"/>
      </rPr>
      <t>40</t>
    </r>
  </si>
  <si>
    <r>
      <rPr>
        <b/>
        <sz val="9"/>
        <color indexed="10"/>
        <rFont val="Arial"/>
        <family val="2"/>
      </rPr>
      <t>Joel</t>
    </r>
    <r>
      <rPr>
        <sz val="9"/>
        <color indexed="12"/>
        <rFont val="Arial"/>
        <family val="2"/>
      </rPr>
      <t>(45)-</t>
    </r>
    <r>
      <rPr>
        <b/>
        <sz val="9"/>
        <color indexed="10"/>
        <rFont val="Arial"/>
        <family val="2"/>
      </rPr>
      <t>40</t>
    </r>
  </si>
  <si>
    <r>
      <rPr>
        <b/>
        <sz val="9"/>
        <color indexed="10"/>
        <rFont val="Arial"/>
        <family val="2"/>
      </rPr>
      <t>Joel</t>
    </r>
    <r>
      <rPr>
        <sz val="10"/>
        <color indexed="12"/>
        <rFont val="Arial"/>
        <family val="2"/>
      </rPr>
      <t>(45)-</t>
    </r>
    <r>
      <rPr>
        <b/>
        <sz val="10"/>
        <color indexed="10"/>
        <rFont val="Arial"/>
        <family val="2"/>
      </rPr>
      <t>50</t>
    </r>
  </si>
  <si>
    <t>Te-40</t>
  </si>
  <si>
    <r>
      <t>Tub- 40</t>
    </r>
    <r>
      <rPr>
        <sz val="10"/>
        <color indexed="8"/>
        <rFont val="Arial"/>
        <family val="2"/>
      </rPr>
      <t xml:space="preserve"> </t>
    </r>
  </si>
  <si>
    <r>
      <t>Te-</t>
    </r>
    <r>
      <rPr>
        <b/>
        <sz val="10"/>
        <color indexed="10"/>
        <rFont val="Arial"/>
        <family val="2"/>
      </rPr>
      <t>50</t>
    </r>
  </si>
  <si>
    <r>
      <rPr>
        <b/>
        <sz val="9"/>
        <color indexed="10"/>
        <rFont val="Arial"/>
        <family val="2"/>
      </rPr>
      <t>Joel</t>
    </r>
    <r>
      <rPr>
        <sz val="9"/>
        <color indexed="12"/>
        <rFont val="Arial"/>
        <family val="2"/>
      </rPr>
      <t>(90)-</t>
    </r>
    <r>
      <rPr>
        <b/>
        <sz val="9"/>
        <color indexed="10"/>
        <rFont val="Arial"/>
        <family val="2"/>
      </rPr>
      <t>75</t>
    </r>
  </si>
  <si>
    <r>
      <rPr>
        <b/>
        <sz val="9"/>
        <color indexed="10"/>
        <rFont val="Arial"/>
        <family val="2"/>
      </rPr>
      <t>Joel</t>
    </r>
    <r>
      <rPr>
        <sz val="9"/>
        <color indexed="10"/>
        <rFont val="Arial"/>
        <family val="2"/>
      </rPr>
      <t>(</t>
    </r>
    <r>
      <rPr>
        <sz val="9"/>
        <color indexed="12"/>
        <rFont val="Arial"/>
        <family val="2"/>
      </rPr>
      <t>45)</t>
    </r>
    <r>
      <rPr>
        <b/>
        <sz val="9"/>
        <color indexed="10"/>
        <rFont val="Arial"/>
        <family val="2"/>
      </rPr>
      <t>75</t>
    </r>
  </si>
  <si>
    <r>
      <rPr>
        <b/>
        <sz val="9"/>
        <color indexed="10"/>
        <rFont val="Arial"/>
        <family val="2"/>
      </rPr>
      <t>Joel</t>
    </r>
    <r>
      <rPr>
        <sz val="9"/>
        <color indexed="12"/>
        <rFont val="Arial"/>
        <family val="2"/>
      </rPr>
      <t>(45)</t>
    </r>
    <r>
      <rPr>
        <b/>
        <sz val="9"/>
        <color indexed="10"/>
        <rFont val="Arial"/>
        <family val="2"/>
      </rPr>
      <t>100</t>
    </r>
  </si>
  <si>
    <t>Tubo-75</t>
  </si>
  <si>
    <t>Tubo-100</t>
  </si>
  <si>
    <r>
      <t>Y</t>
    </r>
    <r>
      <rPr>
        <sz val="9"/>
        <color indexed="8"/>
        <rFont val="Arial"/>
        <family val="2"/>
      </rPr>
      <t>(</t>
    </r>
    <r>
      <rPr>
        <sz val="9"/>
        <color indexed="12"/>
        <rFont val="Arial"/>
        <family val="2"/>
      </rPr>
      <t>45)</t>
    </r>
    <r>
      <rPr>
        <sz val="9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>75</t>
    </r>
  </si>
  <si>
    <t>Unidades</t>
  </si>
  <si>
    <r>
      <t>Joel</t>
    </r>
    <r>
      <rPr>
        <sz val="10"/>
        <color indexed="12"/>
        <rFont val="Arial"/>
        <family val="2"/>
      </rPr>
      <t>(90)</t>
    </r>
    <r>
      <rPr>
        <b/>
        <sz val="10"/>
        <color indexed="8"/>
        <rFont val="Arial"/>
        <family val="2"/>
      </rPr>
      <t xml:space="preserve"> 50</t>
    </r>
  </si>
  <si>
    <r>
      <t>Te-</t>
    </r>
    <r>
      <rPr>
        <b/>
        <sz val="10"/>
        <color indexed="8"/>
        <rFont val="Arial"/>
        <family val="2"/>
      </rPr>
      <t>50</t>
    </r>
  </si>
  <si>
    <r>
      <rPr>
        <b/>
        <sz val="9"/>
        <rFont val="Arial"/>
        <family val="2"/>
      </rPr>
      <t>Joel</t>
    </r>
    <r>
      <rPr>
        <sz val="9"/>
        <color indexed="12"/>
        <rFont val="Arial"/>
        <family val="2"/>
      </rPr>
      <t>(90)-</t>
    </r>
    <r>
      <rPr>
        <b/>
        <sz val="9"/>
        <rFont val="Arial"/>
        <family val="2"/>
      </rPr>
      <t>75</t>
    </r>
  </si>
  <si>
    <t>Tub-100</t>
  </si>
  <si>
    <t>TQP-100</t>
  </si>
  <si>
    <t>Ramal-externo</t>
  </si>
  <si>
    <t>Aviso Reserv-Ladrão</t>
  </si>
  <si>
    <t>TE-32</t>
  </si>
  <si>
    <t>TE 32x25</t>
  </si>
  <si>
    <t>Adp.(25mmx3/4)</t>
  </si>
  <si>
    <t>Adp.(32mmx 1")</t>
  </si>
  <si>
    <t>Adp.(40mmx 1.1/4")</t>
  </si>
  <si>
    <t>Regesf.(40mm)</t>
  </si>
  <si>
    <t>Regesf.(32mm)</t>
  </si>
  <si>
    <r>
      <t xml:space="preserve">CÁCULO - OK: </t>
    </r>
    <r>
      <rPr>
        <sz val="10"/>
        <color indexed="12"/>
        <rFont val="Arial"/>
        <family val="2"/>
      </rPr>
      <t>0</t>
    </r>
    <r>
      <rPr>
        <sz val="10"/>
        <color indexed="8"/>
        <rFont val="Arial"/>
        <family val="2"/>
      </rPr>
      <t>1 Reg.esfera p/distribuição e 01 Reg.Esfera p/limpeza</t>
    </r>
  </si>
  <si>
    <r>
      <t xml:space="preserve">CÁLCULO-OK: </t>
    </r>
    <r>
      <rPr>
        <sz val="10"/>
        <rFont val="Arial"/>
        <family val="2"/>
      </rPr>
      <t>Adaptadores p/ReG.Esfera, 4 unidades</t>
    </r>
  </si>
  <si>
    <r>
      <t xml:space="preserve">CÁLCULO-OK: </t>
    </r>
    <r>
      <rPr>
        <sz val="10"/>
        <color indexed="10"/>
        <rFont val="Arial"/>
        <family val="2"/>
      </rPr>
      <t>VERIFICAR COMPOSIÇÃO</t>
    </r>
  </si>
  <si>
    <r>
      <rPr>
        <b/>
        <sz val="9"/>
        <color indexed="10"/>
        <rFont val="Arial"/>
        <family val="2"/>
      </rPr>
      <t>Curva</t>
    </r>
    <r>
      <rPr>
        <sz val="9"/>
        <color indexed="12"/>
        <rFont val="Arial"/>
        <family val="2"/>
      </rPr>
      <t>(90)-</t>
    </r>
    <r>
      <rPr>
        <b/>
        <sz val="9"/>
        <color indexed="10"/>
        <rFont val="Arial"/>
        <family val="2"/>
      </rPr>
      <t>100</t>
    </r>
  </si>
  <si>
    <t>Torneira Acesso Coberto (sai WCpne)</t>
  </si>
  <si>
    <t>Bebedor(sai WCpne)</t>
  </si>
  <si>
    <t>Bebedor(sai Wcpne feminino)</t>
  </si>
  <si>
    <t>TJ,(coz,quad, almox)</t>
  </si>
  <si>
    <t>tubo e conexões sant/wcs</t>
  </si>
  <si>
    <t>Barrilete</t>
  </si>
  <si>
    <t>Vert. CAF</t>
  </si>
  <si>
    <t>Barrilete-Distribuição(Caf)</t>
  </si>
  <si>
    <t>LUVA/RED40/32</t>
  </si>
  <si>
    <t>LUVA/RED32/25</t>
  </si>
  <si>
    <r>
      <t xml:space="preserve">CÁLCULO-OK: </t>
    </r>
    <r>
      <rPr>
        <sz val="10"/>
        <rFont val="Arial"/>
        <family val="2"/>
      </rPr>
      <t xml:space="preserve">02 derivação sanitários CAF 3 CAF 4 </t>
    </r>
  </si>
  <si>
    <r>
      <t>CÁLCULO-OK:</t>
    </r>
    <r>
      <rPr>
        <sz val="10"/>
        <rFont val="Arial"/>
        <family val="2"/>
      </rPr>
      <t xml:space="preserve"> 01 na CAF5 e 01 na CAF2 :  TOTAL: 2 unidades</t>
    </r>
  </si>
  <si>
    <r>
      <t xml:space="preserve">CÁLCULO - OK: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RG dos Sanit, Wcs, Copa e Area de serviço e</t>
    </r>
    <r>
      <rPr>
        <sz val="10"/>
        <color indexed="10"/>
        <rFont val="Arial"/>
        <family val="2"/>
      </rPr>
      <t xml:space="preserve"> 01 RG p/bebedor(almoxarifado)</t>
    </r>
  </si>
  <si>
    <r>
      <t xml:space="preserve">CÁLCULO-OK - </t>
    </r>
    <r>
      <rPr>
        <sz val="10"/>
        <color indexed="10"/>
        <rFont val="Arial"/>
        <family val="2"/>
      </rPr>
      <t>Já incluído 02 adaptadores p/RG do Bebedor (almoxarifado)</t>
    </r>
  </si>
  <si>
    <t>pto d´gua.</t>
  </si>
  <si>
    <r>
      <t>Joe</t>
    </r>
    <r>
      <rPr>
        <sz val="9"/>
        <color indexed="12"/>
        <rFont val="Arial"/>
        <family val="2"/>
      </rPr>
      <t xml:space="preserve">(90) </t>
    </r>
    <r>
      <rPr>
        <sz val="9"/>
        <color indexed="10"/>
        <rFont val="Arial"/>
        <family val="2"/>
      </rPr>
      <t>(bucha latão)</t>
    </r>
  </si>
  <si>
    <r>
      <t>CÁLCULO-OK: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Já incluído 02 bebedores,  03 TJ e 01 Torneira pia(acesso coberto) </t>
    </r>
  </si>
  <si>
    <r>
      <t>CÁLCULO-OK: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05 unid.= p/lavatórios + 04 unid. p/ vasos.</t>
    </r>
  </si>
  <si>
    <t xml:space="preserve">Rede de implantação dentro do terreno </t>
  </si>
  <si>
    <r>
      <rPr>
        <b/>
        <sz val="9"/>
        <color indexed="8"/>
        <rFont val="Arial"/>
        <family val="2"/>
      </rPr>
      <t>Joel</t>
    </r>
    <r>
      <rPr>
        <sz val="10"/>
        <color indexed="12"/>
        <rFont val="Arial"/>
        <family val="2"/>
      </rPr>
      <t>(45)</t>
    </r>
    <r>
      <rPr>
        <sz val="10"/>
        <color indexed="8"/>
        <rFont val="Arial"/>
        <family val="2"/>
      </rPr>
      <t>-</t>
    </r>
    <r>
      <rPr>
        <b/>
        <sz val="10"/>
        <color indexed="8"/>
        <rFont val="Arial"/>
        <family val="2"/>
      </rPr>
      <t>50</t>
    </r>
  </si>
  <si>
    <r>
      <t xml:space="preserve">CÁLCULO-OK: </t>
    </r>
    <r>
      <rPr>
        <sz val="10"/>
        <color indexed="10"/>
        <rFont val="Arial"/>
        <family val="2"/>
      </rPr>
      <t xml:space="preserve"> Já incluído  02 bebedores + Torneira pia(acesso coberto) </t>
    </r>
  </si>
  <si>
    <r>
      <t xml:space="preserve">CÁLCULO-OK- </t>
    </r>
    <r>
      <rPr>
        <sz val="11"/>
        <color indexed="10"/>
        <rFont val="Arial"/>
        <family val="2"/>
      </rPr>
      <t>na Copa, necessita de redução excentrica</t>
    </r>
  </si>
  <si>
    <r>
      <t>CÁLCULO-OK: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Já incluído 02 Unidades WC(s) dos PNE. Necessita de redução excentrica</t>
    </r>
  </si>
  <si>
    <r>
      <t>CALCULO-OK</t>
    </r>
    <r>
      <rPr>
        <sz val="11"/>
        <color indexed="10"/>
        <rFont val="Arial"/>
        <family val="2"/>
      </rPr>
      <t xml:space="preserve"> - REDUÇÃO EXCENTRICA P/JUNÇAO SIMPLES Y 100X100</t>
    </r>
  </si>
  <si>
    <r>
      <t xml:space="preserve">CÁCULO -OK - </t>
    </r>
    <r>
      <rPr>
        <sz val="11"/>
        <color indexed="10"/>
        <rFont val="Arial"/>
        <family val="2"/>
      </rPr>
      <t>REDUÇÃO EXCENTRICA P/JUNÇAO SIMPLES Y 70X70</t>
    </r>
  </si>
  <si>
    <r>
      <t>CÁLCULO-OK: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01 Unidade NO WC(s) dos PNE Feminino</t>
    </r>
  </si>
  <si>
    <r>
      <t>CÁLCULO-OK: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01 Unidade p/pia da copa</t>
    </r>
  </si>
  <si>
    <r>
      <t>CÁLCULO-OK: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05 unid. p/lavatórios </t>
    </r>
  </si>
  <si>
    <r>
      <t>CÁLCULO-OK:</t>
    </r>
    <r>
      <rPr>
        <sz val="10"/>
        <color indexed="10"/>
        <rFont val="Arial"/>
        <family val="2"/>
      </rPr>
      <t xml:space="preserve"> 04 Sanitários, 01 área de serviço. </t>
    </r>
  </si>
  <si>
    <r>
      <t>CÁLCULO-OK:</t>
    </r>
    <r>
      <rPr>
        <sz val="10"/>
        <color indexed="10"/>
        <rFont val="Arial"/>
        <family val="2"/>
      </rPr>
      <t xml:space="preserve"> 01 unidade  na Copa.</t>
    </r>
  </si>
  <si>
    <r>
      <t>CÁLCULO-OK:</t>
    </r>
    <r>
      <rPr>
        <sz val="10"/>
        <color indexed="10"/>
        <rFont val="Arial"/>
        <family val="2"/>
      </rPr>
      <t xml:space="preserve"> 04 lavatórios e  01 pia na copa</t>
    </r>
  </si>
  <si>
    <r>
      <rPr>
        <b/>
        <sz val="11"/>
        <color indexed="8"/>
        <rFont val="Arial"/>
        <family val="2"/>
      </rPr>
      <t>CÁLCULO-OK</t>
    </r>
    <r>
      <rPr>
        <sz val="11"/>
        <color indexed="8"/>
        <rFont val="Arial"/>
        <family val="2"/>
      </rPr>
      <t xml:space="preserve">- </t>
    </r>
    <r>
      <rPr>
        <sz val="11"/>
        <color indexed="10"/>
        <rFont val="Arial"/>
        <family val="2"/>
      </rPr>
      <t xml:space="preserve">Acima do forro-barrilete </t>
    </r>
  </si>
  <si>
    <r>
      <rPr>
        <b/>
        <sz val="11"/>
        <color indexed="8"/>
        <rFont val="Arial"/>
        <family val="2"/>
      </rPr>
      <t xml:space="preserve">CALCULO - OK - </t>
    </r>
    <r>
      <rPr>
        <sz val="11"/>
        <color indexed="10"/>
        <rFont val="Arial"/>
        <family val="2"/>
      </rPr>
      <t xml:space="preserve">Já incluído os 02 bebedores, + 03 TJ e + Torneira p/Acesso coberto </t>
    </r>
  </si>
  <si>
    <r>
      <rPr>
        <b/>
        <sz val="11"/>
        <color indexed="8"/>
        <rFont val="Arial"/>
        <family val="2"/>
      </rPr>
      <t xml:space="preserve">CÁLCULO-OK- </t>
    </r>
    <r>
      <rPr>
        <sz val="11"/>
        <color indexed="10"/>
        <rFont val="Arial"/>
        <family val="2"/>
      </rPr>
      <t>DESCIDAS DA CAF(S)</t>
    </r>
  </si>
  <si>
    <r>
      <rPr>
        <b/>
        <sz val="11"/>
        <color indexed="8"/>
        <rFont val="Arial"/>
        <family val="2"/>
      </rPr>
      <t xml:space="preserve">CÁLCULO - OK - </t>
    </r>
    <r>
      <rPr>
        <sz val="11"/>
        <color indexed="10"/>
        <rFont val="Arial"/>
        <family val="2"/>
      </rPr>
      <t xml:space="preserve">Já incluído os 02 bebedores, + 03 TJ e + Torneira p/Acesso coberto </t>
    </r>
  </si>
  <si>
    <r>
      <t>CÁLCULO-OK: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04 unid. p/ vasos</t>
    </r>
  </si>
  <si>
    <r>
      <t>CÁLCULO-OK :</t>
    </r>
    <r>
      <rPr>
        <b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VENTILAÇÃO</t>
    </r>
    <r>
      <rPr>
        <sz val="9"/>
        <rFont val="Arial"/>
        <family val="2"/>
      </rPr>
      <t xml:space="preserve"> </t>
    </r>
  </si>
  <si>
    <t>3.7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</si>
  <si>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</si>
  <si>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</si>
  <si>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</si>
  <si>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</si>
  <si>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</si>
  <si>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</si>
  <si>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</si>
  <si>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</si>
  <si>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</si>
  <si>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12.1</t>
  </si>
  <si>
    <t>12.2</t>
  </si>
  <si>
    <t>12.3</t>
  </si>
  <si>
    <t>12.4</t>
  </si>
  <si>
    <t>12.5</t>
  </si>
  <si>
    <t>12.6</t>
  </si>
  <si>
    <t>13.1</t>
  </si>
  <si>
    <t>13.2</t>
  </si>
  <si>
    <t>13.3</t>
  </si>
  <si>
    <t>13.4</t>
  </si>
  <si>
    <t>13.5</t>
  </si>
  <si>
    <t>INSTALAÇÕES ELÉTRICAS</t>
  </si>
  <si>
    <t>14.1</t>
  </si>
  <si>
    <t>14.2</t>
  </si>
  <si>
    <t>14.3</t>
  </si>
  <si>
    <t>14.4</t>
  </si>
  <si>
    <t>SISTEMA DE PREVENÇÃO E COMBATE A INCÊNCIO</t>
  </si>
  <si>
    <t>16.</t>
  </si>
  <si>
    <t>SERVIÇOS DIVERSOS</t>
  </si>
  <si>
    <t>16.1</t>
  </si>
  <si>
    <t>16.2</t>
  </si>
  <si>
    <t>17.</t>
  </si>
  <si>
    <t>17.1</t>
  </si>
  <si>
    <t>17.2</t>
  </si>
  <si>
    <t>17.3</t>
  </si>
  <si>
    <t>18.</t>
  </si>
  <si>
    <t>18.1</t>
  </si>
  <si>
    <t xml:space="preserve">CÁLCULO-OK </t>
  </si>
  <si>
    <r>
      <t xml:space="preserve">CÁLCULO - OK: </t>
    </r>
    <r>
      <rPr>
        <sz val="9"/>
        <color indexed="10"/>
        <rFont val="Arial"/>
        <family val="2"/>
      </rPr>
      <t>Para cada TQP 02 unidades de Joelho 90º</t>
    </r>
  </si>
  <si>
    <r>
      <t>Joel</t>
    </r>
    <r>
      <rPr>
        <sz val="10"/>
        <color indexed="12"/>
        <rFont val="Arial"/>
        <family val="2"/>
      </rPr>
      <t>(90)</t>
    </r>
    <r>
      <rPr>
        <b/>
        <sz val="10"/>
        <color indexed="8"/>
        <rFont val="Arial"/>
        <family val="2"/>
      </rPr>
      <t>100</t>
    </r>
  </si>
  <si>
    <r>
      <t>Joel</t>
    </r>
    <r>
      <rPr>
        <sz val="10"/>
        <color indexed="12"/>
        <rFont val="Arial"/>
        <family val="2"/>
      </rPr>
      <t>(45)</t>
    </r>
    <r>
      <rPr>
        <b/>
        <sz val="10"/>
        <color indexed="8"/>
        <rFont val="Arial"/>
        <family val="2"/>
      </rPr>
      <t>100</t>
    </r>
  </si>
  <si>
    <r>
      <t xml:space="preserve">CÁLCULO - OK : </t>
    </r>
    <r>
      <rPr>
        <sz val="9"/>
        <color indexed="10"/>
        <rFont val="Arial"/>
        <family val="2"/>
      </rPr>
      <t>04 TQP 100mm</t>
    </r>
  </si>
  <si>
    <r>
      <t xml:space="preserve">CÁLCULO - OK:  </t>
    </r>
    <r>
      <rPr>
        <sz val="9"/>
        <color indexed="10"/>
        <rFont val="Arial"/>
        <family val="2"/>
      </rPr>
      <t>Rede enterrada</t>
    </r>
  </si>
  <si>
    <t>ARMADURA BLOCO/VIGA = 0,395kg/m</t>
  </si>
  <si>
    <t>PM05 - PORTA DE MADEIRA DE CORRER - 2FLS, 800X2100X35MM - COM TRILHO/RODIZIO/PILAR DE MADEIRA PARA REQUADRO, FECHADURA COM EXECUÇÃO DO FURO -FORNECIMENTO E INSTALAÇÃO</t>
  </si>
  <si>
    <r>
      <rPr>
        <b/>
        <sz val="9"/>
        <rFont val="Arial"/>
        <family val="2"/>
      </rPr>
      <t>OK -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FECHADURA PCD - 2 UND.(S)</t>
    </r>
  </si>
  <si>
    <r>
      <rPr>
        <b/>
        <sz val="9"/>
        <rFont val="Arial"/>
        <family val="2"/>
      </rPr>
      <t>OK</t>
    </r>
    <r>
      <rPr>
        <b/>
        <sz val="9"/>
        <color indexed="10"/>
        <rFont val="Arial"/>
        <family val="2"/>
      </rPr>
      <t xml:space="preserve"> - COMPOS_FASC-ESQM.2-(91314/100700)- </t>
    </r>
    <r>
      <rPr>
        <b/>
        <sz val="9"/>
        <rFont val="Arial"/>
        <family val="2"/>
      </rPr>
      <t>2FLS - DE ABRIR  80X210</t>
    </r>
  </si>
  <si>
    <r>
      <rPr>
        <b/>
        <sz val="9"/>
        <rFont val="Arial"/>
        <family val="2"/>
      </rPr>
      <t>OK</t>
    </r>
    <r>
      <rPr>
        <b/>
        <sz val="9"/>
        <color indexed="10"/>
        <rFont val="Arial"/>
        <family val="2"/>
      </rPr>
      <t xml:space="preserve"> - COMPOS_FASC_ESQM.3-(100700) -  </t>
    </r>
    <r>
      <rPr>
        <b/>
        <sz val="9"/>
        <rFont val="Arial"/>
        <family val="2"/>
      </rPr>
      <t>2FLS DE CORRER</t>
    </r>
  </si>
  <si>
    <r>
      <rPr>
        <b/>
        <sz val="9"/>
        <rFont val="Arial"/>
        <family val="2"/>
      </rPr>
      <t>OK -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PORTA DE AÇO - </t>
    </r>
    <r>
      <rPr>
        <b/>
        <sz val="9"/>
        <color indexed="8"/>
        <rFont val="Arial"/>
        <family val="2"/>
      </rPr>
      <t xml:space="preserve">80X210 - </t>
    </r>
    <r>
      <rPr>
        <b/>
        <sz val="9"/>
        <color indexed="10"/>
        <rFont val="Arial"/>
        <family val="2"/>
      </rPr>
      <t>EXLCUSIVE FECHADURA</t>
    </r>
  </si>
  <si>
    <r>
      <t>OK -COMPOS_FASC_ESQF.1-(94806)-</t>
    </r>
    <r>
      <rPr>
        <b/>
        <sz val="9"/>
        <rFont val="Arial"/>
        <family val="2"/>
      </rPr>
      <t xml:space="preserve"> PF 2FLS DE ABRIR- 160X210,C/BANDEIRA</t>
    </r>
  </si>
  <si>
    <r>
      <rPr>
        <b/>
        <sz val="9"/>
        <rFont val="Arial"/>
        <family val="2"/>
      </rPr>
      <t>OK-</t>
    </r>
    <r>
      <rPr>
        <b/>
        <sz val="9"/>
        <color indexed="10"/>
        <rFont val="Arial"/>
        <family val="2"/>
      </rPr>
      <t>COMPOS_FASC-ESQM.1-PCD- (91314) -</t>
    </r>
    <r>
      <rPr>
        <b/>
        <sz val="9"/>
        <rFont val="Arial"/>
        <family val="2"/>
      </rPr>
      <t>80X210</t>
    </r>
  </si>
  <si>
    <r>
      <t>OK -:</t>
    </r>
    <r>
      <rPr>
        <b/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FECHADURA P/PORTA DE FERRO , 4UNID(S).</t>
    </r>
  </si>
  <si>
    <r>
      <t>OK -</t>
    </r>
    <r>
      <rPr>
        <b/>
        <sz val="9"/>
        <color indexed="10"/>
        <rFont val="Arial"/>
        <family val="2"/>
      </rPr>
      <t>FALTA QUANTIFICAR</t>
    </r>
  </si>
  <si>
    <r>
      <rPr>
        <b/>
        <sz val="9"/>
        <rFont val="Arial"/>
        <family val="2"/>
      </rPr>
      <t xml:space="preserve">OK </t>
    </r>
    <r>
      <rPr>
        <sz val="9"/>
        <color indexed="8"/>
        <rFont val="Arial"/>
        <family val="2"/>
      </rPr>
      <t>-</t>
    </r>
    <r>
      <rPr>
        <sz val="9"/>
        <color indexed="10"/>
        <rFont val="Arial"/>
        <family val="2"/>
      </rPr>
      <t xml:space="preserve"> BARRA DE APOIO RETA INOX - </t>
    </r>
    <r>
      <rPr>
        <b/>
        <sz val="9"/>
        <color indexed="8"/>
        <rFont val="Arial"/>
        <family val="2"/>
      </rPr>
      <t>80CM</t>
    </r>
  </si>
  <si>
    <r>
      <rPr>
        <b/>
        <sz val="9"/>
        <rFont val="Arial"/>
        <family val="2"/>
      </rPr>
      <t xml:space="preserve">OK </t>
    </r>
    <r>
      <rPr>
        <sz val="9"/>
        <color indexed="8"/>
        <rFont val="Arial"/>
        <family val="2"/>
      </rPr>
      <t>-</t>
    </r>
    <r>
      <rPr>
        <sz val="9"/>
        <color indexed="10"/>
        <rFont val="Arial"/>
        <family val="2"/>
      </rPr>
      <t xml:space="preserve"> KIT -</t>
    </r>
    <r>
      <rPr>
        <b/>
        <sz val="9"/>
        <color indexed="8"/>
        <rFont val="Arial"/>
        <family val="2"/>
      </rPr>
      <t xml:space="preserve"> COM 05 ACESSÓRIOS DE PEÇAS</t>
    </r>
    <r>
      <rPr>
        <sz val="9"/>
        <color indexed="10"/>
        <rFont val="Arial"/>
        <family val="2"/>
      </rPr>
      <t xml:space="preserve"> CROMADAS INSTALADAS.</t>
    </r>
  </si>
  <si>
    <r>
      <t>CÁLCULO-OK: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Já incluído 02 bebedores, </t>
    </r>
  </si>
  <si>
    <r>
      <t>CÁLCULO-OK:</t>
    </r>
    <r>
      <rPr>
        <sz val="10"/>
        <color indexed="10"/>
        <rFont val="Arial"/>
        <family val="2"/>
      </rPr>
      <t xml:space="preserve"> 04 lavatórios</t>
    </r>
  </si>
  <si>
    <r>
      <t xml:space="preserve">CÁLCULO-OK- </t>
    </r>
    <r>
      <rPr>
        <sz val="11"/>
        <color indexed="10"/>
        <rFont val="Arial"/>
        <family val="2"/>
      </rPr>
      <t>p/bebedores 02 unidades</t>
    </r>
  </si>
  <si>
    <r>
      <rPr>
        <b/>
        <sz val="10"/>
        <color indexed="8"/>
        <rFont val="Arial"/>
        <family val="2"/>
      </rPr>
      <t>OK -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CAIXA DE DESCARGA PLÁSTICA SEM CANO/ BOLSA /ENGATE </t>
    </r>
  </si>
  <si>
    <r>
      <rPr>
        <b/>
        <sz val="9"/>
        <color indexed="8"/>
        <rFont val="Arial"/>
        <family val="2"/>
      </rPr>
      <t xml:space="preserve">OK - </t>
    </r>
    <r>
      <rPr>
        <sz val="9"/>
        <color indexed="8"/>
        <rFont val="Arial"/>
        <family val="2"/>
      </rPr>
      <t>VASO SANITÁRIO SIFONADO CONVENCIONAL.</t>
    </r>
  </si>
  <si>
    <r>
      <rPr>
        <b/>
        <sz val="9"/>
        <color indexed="8"/>
        <rFont val="Arial"/>
        <family val="2"/>
      </rPr>
      <t xml:space="preserve">OK - </t>
    </r>
    <r>
      <rPr>
        <sz val="9"/>
        <color indexed="8"/>
        <rFont val="Arial"/>
        <family val="2"/>
      </rPr>
      <t xml:space="preserve">ASSENTO ASSINTÁRIO DE PLASTICO, TIPO CONVENCIONAL. </t>
    </r>
  </si>
  <si>
    <r>
      <rPr>
        <b/>
        <sz val="9"/>
        <color indexed="8"/>
        <rFont val="Arial"/>
        <family val="2"/>
      </rPr>
      <t>OK -</t>
    </r>
    <r>
      <rPr>
        <sz val="9"/>
        <color indexed="8"/>
        <rFont val="Arial"/>
        <family val="2"/>
      </rPr>
      <t xml:space="preserve"> LAVATÓRIO LOUÇA C/ COLUNA.  </t>
    </r>
  </si>
  <si>
    <r>
      <rPr>
        <b/>
        <sz val="9"/>
        <color indexed="8"/>
        <rFont val="Arial"/>
        <family val="2"/>
      </rPr>
      <t xml:space="preserve">OK - </t>
    </r>
    <r>
      <rPr>
        <sz val="9"/>
        <color indexed="8"/>
        <rFont val="Arial"/>
        <family val="2"/>
      </rPr>
      <t xml:space="preserve">LAVATÓRIO LOUÇA SUPESNSO.  </t>
    </r>
  </si>
  <si>
    <r>
      <rPr>
        <b/>
        <sz val="9"/>
        <color indexed="8"/>
        <rFont val="Arial"/>
        <family val="2"/>
      </rPr>
      <t>OK -</t>
    </r>
    <r>
      <rPr>
        <sz val="9"/>
        <color indexed="8"/>
        <rFont val="Arial"/>
        <family val="2"/>
      </rPr>
      <t xml:space="preserve"> TORNEIRA P/LAVATÓRIO DE MESA. </t>
    </r>
  </si>
  <si>
    <r>
      <rPr>
        <b/>
        <sz val="9"/>
        <color indexed="8"/>
        <rFont val="Arial"/>
        <family val="2"/>
      </rPr>
      <t xml:space="preserve">OK </t>
    </r>
    <r>
      <rPr>
        <sz val="9"/>
        <color indexed="8"/>
        <rFont val="Arial"/>
        <family val="2"/>
      </rPr>
      <t>- BANCADA P/PIA INÓX.</t>
    </r>
  </si>
  <si>
    <r>
      <rPr>
        <b/>
        <sz val="9"/>
        <color indexed="8"/>
        <rFont val="Arial"/>
        <family val="2"/>
      </rPr>
      <t xml:space="preserve">OK </t>
    </r>
    <r>
      <rPr>
        <sz val="9"/>
        <color indexed="8"/>
        <rFont val="Arial"/>
        <family val="2"/>
      </rPr>
      <t>- TORNEIRA CROMADA LONGA P/ PIA DE COZINHA.</t>
    </r>
  </si>
  <si>
    <r>
      <rPr>
        <b/>
        <sz val="9"/>
        <color indexed="8"/>
        <rFont val="Arial"/>
        <family val="2"/>
      </rPr>
      <t xml:space="preserve">OK </t>
    </r>
    <r>
      <rPr>
        <sz val="9"/>
        <color indexed="8"/>
        <rFont val="Arial"/>
        <family val="2"/>
      </rPr>
      <t xml:space="preserve">- TANQUE DE LOUÇA C/ COLUNA.  </t>
    </r>
  </si>
  <si>
    <r>
      <rPr>
        <b/>
        <sz val="9"/>
        <color indexed="8"/>
        <rFont val="Arial"/>
        <family val="2"/>
      </rPr>
      <t xml:space="preserve">OK </t>
    </r>
    <r>
      <rPr>
        <sz val="9"/>
        <color indexed="8"/>
        <rFont val="Arial"/>
        <family val="2"/>
      </rPr>
      <t xml:space="preserve">- BARRA DE APOIO RETA INOX - </t>
    </r>
    <r>
      <rPr>
        <b/>
        <sz val="9"/>
        <color indexed="8"/>
        <rFont val="Arial"/>
        <family val="2"/>
      </rPr>
      <t>60CM</t>
    </r>
  </si>
  <si>
    <t>JF1- JANELA DE AÇO TIPO BASCULANTE</t>
  </si>
  <si>
    <t>JF2- JANELA DE AÇO TIPO BASCULANTE</t>
  </si>
  <si>
    <r>
      <rPr>
        <b/>
        <sz val="9"/>
        <rFont val="Arial"/>
        <family val="2"/>
      </rPr>
      <t>OK -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JANELA DE AÇO BASCULANTES</t>
    </r>
  </si>
  <si>
    <r>
      <rPr>
        <b/>
        <sz val="9"/>
        <rFont val="Arial"/>
        <family val="2"/>
      </rPr>
      <t>OK -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PORTÃO PEDRESTRE(1,0X2,0) + ACESSO VEÍCULOS(3,2X2,0)-</t>
    </r>
  </si>
  <si>
    <r>
      <rPr>
        <b/>
        <sz val="9"/>
        <color indexed="8"/>
        <rFont val="Arial"/>
        <family val="2"/>
      </rPr>
      <t xml:space="preserve">OK - </t>
    </r>
    <r>
      <rPr>
        <sz val="9"/>
        <color indexed="8"/>
        <rFont val="Arial"/>
        <family val="2"/>
      </rPr>
      <t xml:space="preserve"> PORTA DE MADEIRA</t>
    </r>
    <r>
      <rPr>
        <b/>
        <sz val="9"/>
        <color indexed="8"/>
        <rFont val="Arial"/>
        <family val="2"/>
      </rPr>
      <t xml:space="preserve"> 70X210 - </t>
    </r>
    <r>
      <rPr>
        <sz val="9"/>
        <color indexed="8"/>
        <rFont val="Arial"/>
        <family val="2"/>
      </rPr>
      <t>COMPLETAS C/FECHADURA</t>
    </r>
  </si>
  <si>
    <r>
      <rPr>
        <b/>
        <sz val="9"/>
        <color indexed="8"/>
        <rFont val="Arial"/>
        <family val="2"/>
      </rPr>
      <t xml:space="preserve">OK - </t>
    </r>
    <r>
      <rPr>
        <sz val="9"/>
        <color indexed="8"/>
        <rFont val="Arial"/>
        <family val="2"/>
      </rPr>
      <t>PORTA DE MADEIRA</t>
    </r>
    <r>
      <rPr>
        <b/>
        <sz val="9"/>
        <color indexed="8"/>
        <rFont val="Arial"/>
        <family val="2"/>
      </rPr>
      <t xml:space="preserve"> 80X210 - </t>
    </r>
    <r>
      <rPr>
        <sz val="9"/>
        <color indexed="8"/>
        <rFont val="Arial"/>
        <family val="2"/>
      </rPr>
      <t>COMPLETA C/FECHADURA</t>
    </r>
  </si>
  <si>
    <t>PF01 - PORTÃO DE FERRO DE ABRIR - PARA PEDESTRE</t>
  </si>
  <si>
    <t>PF02 - PORTÃO DE FERRO DE ABRIR - PARA VEÍCULOS</t>
  </si>
  <si>
    <t>VIDRO PARA  JF2- JANELA DE AÇO TIPO BASCULANTE</t>
  </si>
  <si>
    <t xml:space="preserve">VIDRO PARA  BANDEIRA SUPERIOR -JANELA DE AÇO TIPO BASCULANTE  </t>
  </si>
  <si>
    <t>VIDRO PARA  JF1- JANELA DE AÇO TIPO BASCULANTE</t>
  </si>
  <si>
    <r>
      <rPr>
        <b/>
        <sz val="9"/>
        <rFont val="Arial"/>
        <family val="2"/>
      </rPr>
      <t>OK</t>
    </r>
    <r>
      <rPr>
        <sz val="9"/>
        <color indexed="10"/>
        <rFont val="Arial"/>
        <family val="2"/>
      </rPr>
      <t xml:space="preserve"> - JF -  BASCULATES PEQUENAS - </t>
    </r>
    <r>
      <rPr>
        <sz val="9"/>
        <rFont val="Arial"/>
        <family val="2"/>
      </rPr>
      <t xml:space="preserve"> 08 UNIDADES</t>
    </r>
  </si>
  <si>
    <r>
      <rPr>
        <b/>
        <sz val="9"/>
        <rFont val="Arial"/>
        <family val="2"/>
      </rPr>
      <t>OK</t>
    </r>
    <r>
      <rPr>
        <sz val="9"/>
        <color indexed="10"/>
        <rFont val="Arial"/>
        <family val="2"/>
      </rPr>
      <t xml:space="preserve"> - JF - BANDEIRAS BASCULATES-</t>
    </r>
    <r>
      <rPr>
        <sz val="9"/>
        <rFont val="Arial"/>
        <family val="2"/>
      </rPr>
      <t>03 UNIDADES</t>
    </r>
  </si>
  <si>
    <t>1.13</t>
  </si>
  <si>
    <t>1.14</t>
  </si>
  <si>
    <t>1.15</t>
  </si>
  <si>
    <t>1.16</t>
  </si>
  <si>
    <r>
      <t xml:space="preserve">OK - </t>
    </r>
    <r>
      <rPr>
        <b/>
        <sz val="9"/>
        <rFont val="Arial"/>
        <family val="2"/>
      </rPr>
      <t>DEMOLIÇÃO MURO DE DIVISA.</t>
    </r>
    <r>
      <rPr>
        <b/>
        <sz val="9"/>
        <color indexed="10"/>
        <rFont val="Arial"/>
        <family val="2"/>
      </rPr>
      <t xml:space="preserve"> </t>
    </r>
  </si>
  <si>
    <t>diâm.Ø</t>
  </si>
  <si>
    <t>dist. km</t>
  </si>
  <si>
    <r>
      <rPr>
        <b/>
        <sz val="9"/>
        <color indexed="8"/>
        <rFont val="Arial"/>
        <family val="2"/>
      </rPr>
      <t>OK -</t>
    </r>
    <r>
      <rPr>
        <sz val="9"/>
        <color indexed="8"/>
        <rFont val="Arial"/>
        <family val="2"/>
      </rPr>
      <t xml:space="preserve"> TRANSPORTE CAMINHÃO BASCULANTE 6M3 -  PARA RETIRAR DA OBRA</t>
    </r>
    <r>
      <rPr>
        <b/>
        <sz val="12"/>
        <color indexed="10"/>
        <rFont val="Arial"/>
        <family val="2"/>
      </rPr>
      <t>.</t>
    </r>
  </si>
  <si>
    <t>REMOÇÃO DE CERCA DE GRADIL DE FERRO, DE FORMA MANUAL, SEM REAPROVEITAMENTO.</t>
  </si>
  <si>
    <t>CALHA PARA AGUA FURTADA, EM CHAPA DE AÇO GALVANIZADO NÚMERO 26, DESENVOLVIMENTO DE 40 CM, FORNECIMENTO E INSTALAÇÃO .</t>
  </si>
  <si>
    <t>TELHA ESPIGÃO DE FIBROCIMENTO ONDULADA E = 6 MM, INCLUSO ACESSÓRIOS, FORNECIMENTO E INSTALAÇÃO.</t>
  </si>
  <si>
    <r>
      <t xml:space="preserve">OK - ABRIL_21: </t>
    </r>
    <r>
      <rPr>
        <b/>
        <sz val="9"/>
        <color indexed="10"/>
        <rFont val="Arial"/>
        <family val="2"/>
      </rPr>
      <t>COMPOS_FASC_ESQ.ALUM.1 -(91341)</t>
    </r>
  </si>
  <si>
    <r>
      <rPr>
        <b/>
        <sz val="9"/>
        <color indexed="8"/>
        <rFont val="Arial"/>
        <family val="2"/>
      </rPr>
      <t>OK - ABRIL-21 -</t>
    </r>
    <r>
      <rPr>
        <b/>
        <sz val="9"/>
        <color indexed="10"/>
        <rFont val="Arial"/>
        <family val="2"/>
      </rPr>
      <t>COMPOS_FASC-DEMOL-(97637)</t>
    </r>
  </si>
  <si>
    <r>
      <t>OK -</t>
    </r>
    <r>
      <rPr>
        <b/>
        <sz val="9"/>
        <color indexed="10"/>
        <rFont val="Arial"/>
        <family val="2"/>
      </rPr>
      <t xml:space="preserve"> </t>
    </r>
    <r>
      <rPr>
        <sz val="11"/>
        <rFont val="Arial"/>
        <family val="2"/>
      </rPr>
      <t>PAREDES INTERNAS</t>
    </r>
  </si>
  <si>
    <r>
      <rPr>
        <b/>
        <sz val="9"/>
        <color indexed="8"/>
        <rFont val="Arial"/>
        <family val="2"/>
      </rPr>
      <t xml:space="preserve">OK- </t>
    </r>
    <r>
      <rPr>
        <sz val="11"/>
        <rFont val="Arial"/>
        <family val="2"/>
      </rPr>
      <t>FACHADA EXTERNAS.</t>
    </r>
  </si>
  <si>
    <r>
      <t xml:space="preserve">OK - </t>
    </r>
    <r>
      <rPr>
        <sz val="11"/>
        <rFont val="Arial"/>
        <family val="2"/>
      </rPr>
      <t>EMBOÇO/MASSA ÚNICA EM FACHADA</t>
    </r>
  </si>
  <si>
    <r>
      <t xml:space="preserve">OK - </t>
    </r>
    <r>
      <rPr>
        <sz val="11"/>
        <rFont val="Arial"/>
        <family val="2"/>
      </rPr>
      <t>MASSA ÚNICA PAREDES INTERNAS</t>
    </r>
  </si>
  <si>
    <r>
      <rPr>
        <b/>
        <sz val="9"/>
        <rFont val="Arial"/>
        <family val="2"/>
      </rPr>
      <t>OK -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REVESTIMENTO CERÂMICO A 1/2 ALTURA.</t>
    </r>
  </si>
  <si>
    <r>
      <rPr>
        <b/>
        <sz val="9"/>
        <rFont val="Arial"/>
        <family val="2"/>
      </rPr>
      <t>OK -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PISO CIMENTADO ACABAMENTO LISO, </t>
    </r>
    <r>
      <rPr>
        <b/>
        <sz val="9"/>
        <color indexed="10"/>
        <rFont val="Arial"/>
        <family val="2"/>
      </rPr>
      <t>ESP=3CM</t>
    </r>
    <r>
      <rPr>
        <sz val="9"/>
        <color indexed="10"/>
        <rFont val="Arial"/>
        <family val="2"/>
      </rPr>
      <t xml:space="preserve"> - HALL DE ENTRADA/RAMPA/PÁTIOS???????</t>
    </r>
  </si>
  <si>
    <r>
      <rPr>
        <b/>
        <sz val="9"/>
        <rFont val="Arial"/>
        <family val="2"/>
      </rPr>
      <t>OK -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SOLEIRA EM GRANITO </t>
    </r>
    <r>
      <rPr>
        <b/>
        <sz val="9"/>
        <color indexed="8"/>
        <rFont val="Arial"/>
        <family val="2"/>
      </rPr>
      <t>LARG= 15CM</t>
    </r>
    <r>
      <rPr>
        <sz val="9"/>
        <color indexed="8"/>
        <rFont val="Arial"/>
        <family val="2"/>
      </rPr>
      <t xml:space="preserve"> - </t>
    </r>
    <r>
      <rPr>
        <b/>
        <sz val="9"/>
        <color indexed="8"/>
        <rFont val="Arial"/>
        <family val="2"/>
      </rPr>
      <t>ESP=2CM</t>
    </r>
  </si>
  <si>
    <r>
      <rPr>
        <b/>
        <sz val="9"/>
        <rFont val="Arial"/>
        <family val="2"/>
      </rPr>
      <t xml:space="preserve">OK - </t>
    </r>
    <r>
      <rPr>
        <sz val="9"/>
        <color indexed="8"/>
        <rFont val="Arial"/>
        <family val="2"/>
      </rPr>
      <t xml:space="preserve">LASTRO DE BRITA EM PISO  </t>
    </r>
    <r>
      <rPr>
        <b/>
        <sz val="9"/>
        <color indexed="8"/>
        <rFont val="Arial"/>
        <family val="2"/>
      </rPr>
      <t>ESP= 5CM</t>
    </r>
    <r>
      <rPr>
        <sz val="9"/>
        <color indexed="8"/>
        <rFont val="Arial"/>
        <family val="2"/>
      </rPr>
      <t xml:space="preserve"> - </t>
    </r>
  </si>
  <si>
    <r>
      <rPr>
        <b/>
        <sz val="9"/>
        <rFont val="Arial"/>
        <family val="2"/>
      </rPr>
      <t xml:space="preserve">OK - </t>
    </r>
    <r>
      <rPr>
        <sz val="9"/>
        <color indexed="8"/>
        <rFont val="Arial"/>
        <family val="2"/>
      </rPr>
      <t xml:space="preserve">LASTRO DE CONCRETO MAGRO(CONTRAPISO INTERNO), </t>
    </r>
    <r>
      <rPr>
        <b/>
        <sz val="9"/>
        <color indexed="8"/>
        <rFont val="Arial"/>
        <family val="2"/>
      </rPr>
      <t xml:space="preserve">ESP=5CM </t>
    </r>
  </si>
  <si>
    <r>
      <rPr>
        <b/>
        <sz val="9"/>
        <rFont val="Arial"/>
        <family val="2"/>
      </rPr>
      <t xml:space="preserve">OK - </t>
    </r>
    <r>
      <rPr>
        <sz val="9"/>
        <color indexed="8"/>
        <rFont val="Arial"/>
        <family val="2"/>
      </rPr>
      <t>CERÂMICA COM PLACAS PEI 4,</t>
    </r>
    <r>
      <rPr>
        <b/>
        <sz val="9"/>
        <color indexed="8"/>
        <rFont val="Arial"/>
        <family val="2"/>
      </rPr>
      <t xml:space="preserve"> 45X45CM- </t>
    </r>
  </si>
  <si>
    <r>
      <rPr>
        <b/>
        <sz val="9"/>
        <color indexed="8"/>
        <rFont val="Arial"/>
        <family val="2"/>
      </rPr>
      <t>OK -</t>
    </r>
    <r>
      <rPr>
        <sz val="9"/>
        <color indexed="8"/>
        <rFont val="Arial"/>
        <family val="2"/>
      </rPr>
      <t xml:space="preserve"> RODAPÉ CERÂMICO, H=7CM  PLACAS PEI 4, </t>
    </r>
    <r>
      <rPr>
        <b/>
        <sz val="9"/>
        <color indexed="8"/>
        <rFont val="Arial"/>
        <family val="2"/>
      </rPr>
      <t>45X45CM</t>
    </r>
  </si>
  <si>
    <r>
      <rPr>
        <b/>
        <sz val="9"/>
        <color indexed="8"/>
        <rFont val="Arial"/>
        <family val="2"/>
      </rPr>
      <t>OK -</t>
    </r>
    <r>
      <rPr>
        <sz val="9"/>
        <color indexed="8"/>
        <rFont val="Arial"/>
        <family val="2"/>
      </rPr>
      <t xml:space="preserve"> CONCRETO USINADO BOMBEADO PEDREIRO/SERVENTE E VIBRADOR DE IMERSÃO-</t>
    </r>
    <r>
      <rPr>
        <b/>
        <sz val="9"/>
        <color indexed="8"/>
        <rFont val="Arial"/>
        <family val="2"/>
      </rPr>
      <t>CONTRAPISO INTERNO/EXTERNO ESPESSURA= 10CM</t>
    </r>
  </si>
  <si>
    <r>
      <rPr>
        <b/>
        <sz val="9"/>
        <color indexed="8"/>
        <rFont val="Arial"/>
        <family val="2"/>
      </rPr>
      <t>OK</t>
    </r>
    <r>
      <rPr>
        <sz val="9"/>
        <color indexed="8"/>
        <rFont val="Arial"/>
        <family val="2"/>
      </rPr>
      <t xml:space="preserve">- </t>
    </r>
    <r>
      <rPr>
        <sz val="10"/>
        <rFont val="Arial"/>
        <family val="2"/>
      </rPr>
      <t xml:space="preserve">SELADOR ACRÍLICO PAREDE INTERNA + EXTERNA. </t>
    </r>
    <r>
      <rPr>
        <b/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</si>
  <si>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 xml:space="preserve">OK </t>
    </r>
    <r>
      <rPr>
        <sz val="9"/>
        <color indexed="8"/>
        <rFont val="Arial"/>
        <family val="2"/>
      </rPr>
      <t xml:space="preserve">- </t>
    </r>
    <r>
      <rPr>
        <sz val="10"/>
        <rFont val="Arial"/>
        <family val="2"/>
      </rPr>
      <t>PINTURA LÁTEX ACRÍLICA  PAREDES INTERNA + EXTERNAS</t>
    </r>
    <r>
      <rPr>
        <b/>
        <sz val="10"/>
        <rFont val="Arial"/>
        <family val="2"/>
      </rPr>
      <t>.</t>
    </r>
  </si>
  <si>
    <r>
      <rPr>
        <b/>
        <sz val="9"/>
        <rFont val="Arial"/>
        <family val="2"/>
      </rPr>
      <t xml:space="preserve">OK </t>
    </r>
    <r>
      <rPr>
        <sz val="9"/>
        <color indexed="8"/>
        <rFont val="Arial"/>
        <family val="2"/>
      </rPr>
      <t xml:space="preserve">- </t>
    </r>
    <r>
      <rPr>
        <sz val="10"/>
        <rFont val="Arial"/>
        <family val="2"/>
      </rPr>
      <t>PINTURA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FUNDO NIVELADOR  P/ MADEIRA.</t>
    </r>
  </si>
  <si>
    <r>
      <rPr>
        <b/>
        <sz val="9"/>
        <rFont val="Arial"/>
        <family val="2"/>
      </rPr>
      <t xml:space="preserve">OK </t>
    </r>
    <r>
      <rPr>
        <sz val="9"/>
        <color indexed="8"/>
        <rFont val="Arial"/>
        <family val="2"/>
      </rPr>
      <t xml:space="preserve">- </t>
    </r>
    <r>
      <rPr>
        <sz val="10"/>
        <rFont val="Arial"/>
        <family val="2"/>
      </rPr>
      <t>PINTURA DE ACABAMENTO ESMALTE SINTÉTICO FOSCO  P/ MADEIRA</t>
    </r>
  </si>
  <si>
    <r>
      <rPr>
        <b/>
        <sz val="9"/>
        <rFont val="Arial"/>
        <family val="2"/>
      </rPr>
      <t>OK</t>
    </r>
    <r>
      <rPr>
        <sz val="9"/>
        <color indexed="8"/>
        <rFont val="Arial"/>
        <family val="2"/>
      </rPr>
      <t>-</t>
    </r>
    <r>
      <rPr>
        <sz val="9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INTA DE FUNDO TIPO ZARCÃO SOBRE SUPERFÍCIE METÁLICAS.</t>
    </r>
  </si>
  <si>
    <r>
      <rPr>
        <b/>
        <sz val="9"/>
        <rFont val="Arial"/>
        <family val="2"/>
      </rPr>
      <t>OK</t>
    </r>
    <r>
      <rPr>
        <sz val="9"/>
        <color indexed="8"/>
        <rFont val="Arial"/>
        <family val="2"/>
      </rPr>
      <t>-</t>
    </r>
    <r>
      <rPr>
        <sz val="10"/>
        <rFont val="Arial"/>
        <family val="2"/>
      </rPr>
      <t xml:space="preserve"> TINTA DE ACABAMENTO SOBRE SUPERFÍCIES METÁLICAS. </t>
    </r>
  </si>
  <si>
    <r>
      <rPr>
        <b/>
        <sz val="9"/>
        <color indexed="8"/>
        <rFont val="Arial"/>
        <family val="2"/>
      </rPr>
      <t xml:space="preserve">OK </t>
    </r>
    <r>
      <rPr>
        <sz val="9"/>
        <color indexed="8"/>
        <rFont val="Arial"/>
        <family val="2"/>
      </rPr>
      <t xml:space="preserve">- TORNEIRA PLÁSTICA  PARA TANQUE 01 UN.  E JARDIM 04 UN. </t>
    </r>
  </si>
  <si>
    <r>
      <rPr>
        <b/>
        <sz val="11"/>
        <color indexed="8"/>
        <rFont val="Arial"/>
        <family val="2"/>
      </rPr>
      <t>CÁLCULO-OK</t>
    </r>
    <r>
      <rPr>
        <sz val="11"/>
        <color indexed="8"/>
        <rFont val="Arial"/>
        <family val="2"/>
      </rPr>
      <t xml:space="preserve">- </t>
    </r>
    <r>
      <rPr>
        <sz val="11"/>
        <color indexed="10"/>
        <rFont val="Arial"/>
        <family val="2"/>
      </rPr>
      <t>DERIVAÇÃO PARA O BARRILETE</t>
    </r>
  </si>
  <si>
    <t>Torneira atras Acesso WCpne)</t>
  </si>
  <si>
    <t>Bebedor(almoxarifado+ PNE)</t>
  </si>
  <si>
    <t>Calha de piso</t>
  </si>
  <si>
    <r>
      <t>OK -</t>
    </r>
    <r>
      <rPr>
        <b/>
        <sz val="9"/>
        <color indexed="10"/>
        <rFont val="Arial"/>
        <family val="2"/>
      </rPr>
      <t>COMPOS_FASC_PLUVIAL-(93350)</t>
    </r>
  </si>
  <si>
    <t>LIGAÇÃO DE ÁGUA -RAMAL</t>
  </si>
  <si>
    <t>17.4</t>
  </si>
  <si>
    <t>ACESSIBILIDADE</t>
  </si>
  <si>
    <t>PISO TÁTIL DIRECIONAL 25X25CM - ÁREA INTERNA</t>
  </si>
  <si>
    <t>PISO TÁTIL DE ALERTA 25X25CM - ÁREA INTERNA</t>
  </si>
  <si>
    <t>CORRIMÃO/GUARDA CORPO AÇO INÓX- RAMPA DE ACESSO</t>
  </si>
  <si>
    <t>CORRIMÃO/GUARDA CORPO AÇO INÓX- ESCADA DE ACESSO</t>
  </si>
  <si>
    <t>ALVENARIA DE BLOCOS DE CONCRETO ESTRUTURAL 14X19X29 CM, (ESPESSURA 14 CM) FBK = 14,0 MPA, PARA PAREDES COM ÁREA LÍQUIDA MAIOR OU IGUAL A 6M², SEM VÃOS, UTILIZANDO PALHETA. AF_12/2014</t>
  </si>
  <si>
    <t>HS</t>
  </si>
  <si>
    <t>dias</t>
  </si>
  <si>
    <t>h/d</t>
  </si>
  <si>
    <t>honorários = 8 hora x 5,5 dias=44h semanais</t>
  </si>
  <si>
    <t>honorários = 1 hora x 5,5 dias=5,5h/dia</t>
  </si>
  <si>
    <t>honorários = 7,5 hora x 7dias dias=52,5 h semanais</t>
  </si>
  <si>
    <t>Total de meses</t>
  </si>
  <si>
    <t>(horas/semana)</t>
  </si>
  <si>
    <t>(semanas/meses)</t>
  </si>
  <si>
    <t>CORRIMÃO DUPLO, COM DIÂMETRO EXTERNO DE 1 1/2", COM ALTURA DE 90CM E 70CM, EM ALUMÍNIO, CONTINUO, FIXADOS COM SUPORTES EM TUBO DE AÇO GALVANIZADO C/ DN 40MM (1 1/2") ESPESSURA 3MM , ESPASSADOS  CADA 3,00 M.</t>
  </si>
  <si>
    <r>
      <rPr>
        <sz val="9"/>
        <color indexed="8"/>
        <rFont val="Arial"/>
        <family val="2"/>
      </rPr>
      <t xml:space="preserve">OK - </t>
    </r>
    <r>
      <rPr>
        <b/>
        <sz val="9"/>
        <color indexed="10"/>
        <rFont val="Arial"/>
        <family val="2"/>
      </rPr>
      <t>COMPOS_FASC_CORRIMÃO._(999857)- RAMPA E ESCADA</t>
    </r>
  </si>
  <si>
    <t>PISO TÁTIL DIRECIONAL 25X25CM - ÁREA EXTERNA- ARGAMASSA</t>
  </si>
  <si>
    <t>PISO TÁTIL DE ALERTA 25X25CM - ÁREA EXTERNA - ARGAMASSA</t>
  </si>
  <si>
    <t>4.3</t>
  </si>
  <si>
    <t>7.6</t>
  </si>
  <si>
    <t>7.7</t>
  </si>
  <si>
    <t>7.8</t>
  </si>
  <si>
    <t>7.9</t>
  </si>
  <si>
    <t>7.10</t>
  </si>
  <si>
    <t>PAVIMENTAÇÃO INTERNA/EXTERNA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</si>
  <si>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</si>
  <si>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</si>
  <si>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</si>
  <si>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</si>
  <si>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</si>
  <si>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</si>
  <si>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</si>
  <si>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</si>
  <si>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</si>
  <si>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</si>
  <si>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</si>
  <si>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</si>
  <si>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</si>
  <si>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</si>
  <si>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</si>
  <si>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</si>
  <si>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</si>
  <si>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19.</t>
  </si>
  <si>
    <t>19.1</t>
  </si>
  <si>
    <t>19.2</t>
  </si>
  <si>
    <r>
      <rPr>
        <b/>
        <sz val="8"/>
        <rFont val="Arial"/>
        <family val="2"/>
      </rPr>
      <t>OK- CÁLCULO -</t>
    </r>
    <r>
      <rPr>
        <sz val="8"/>
        <color indexed="10"/>
        <rFont val="Arial"/>
        <family val="2"/>
      </rPr>
      <t xml:space="preserve"> ABRIGO  DO GÁS(larguraxalturaxprof.)-1,50X1,10X0,70m</t>
    </r>
  </si>
  <si>
    <t xml:space="preserve">PISO PODOTÁTIL, DIRECIONAL OU ALERTA, E= 5MM, FIXADO COM COLA </t>
  </si>
  <si>
    <t>10.11</t>
  </si>
  <si>
    <t xml:space="preserve">BANCADA PARA GUICHE EM  MADEIRA APARELHADA, 0,50 X 1,50 M. FORNECIMENTO E INSTALAÇÃO </t>
  </si>
  <si>
    <t>EXTINTORES</t>
  </si>
  <si>
    <t>SINALIZAÇÃO</t>
  </si>
  <si>
    <t>MEM.CÁL PROJ ARQ - OK</t>
  </si>
  <si>
    <t>MEM.CÁL LAUDO VEG. - OK</t>
  </si>
  <si>
    <r>
      <rPr>
        <b/>
        <sz val="9"/>
        <color indexed="8"/>
        <rFont val="Arial"/>
        <family val="2"/>
      </rPr>
      <t>OK -</t>
    </r>
    <r>
      <rPr>
        <sz val="9"/>
        <color indexed="8"/>
        <rFont val="Arial"/>
        <family val="2"/>
      </rPr>
      <t xml:space="preserve"> MOVIMENTO DENTRO DA OBRA, GALHOS DENTRO DA CAÇAMBA</t>
    </r>
  </si>
  <si>
    <t>MEM.CÁL. - OK</t>
  </si>
  <si>
    <r>
      <t>OK -</t>
    </r>
    <r>
      <rPr>
        <sz val="9"/>
        <color indexed="8"/>
        <rFont val="Arial"/>
        <family val="2"/>
      </rPr>
      <t xml:space="preserve"> LOCAÇÃO DE TEODOLITO ELETRONICO TRIPÉ, AUXILIAR DE TOPO E TOPOGRAFO. </t>
    </r>
    <r>
      <rPr>
        <b/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</si>
  <si>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 xml:space="preserve">OK </t>
    </r>
    <r>
      <rPr>
        <sz val="9"/>
        <color indexed="8"/>
        <rFont val="Arial"/>
        <family val="2"/>
      </rPr>
      <t>- ESCAVAÇÃO MANUAL:  SOMENTE MÃO DE OBRA SERVENTE</t>
    </r>
  </si>
  <si>
    <r>
      <rPr>
        <b/>
        <sz val="9"/>
        <rFont val="Arial"/>
        <family val="2"/>
      </rPr>
      <t xml:space="preserve">OK - </t>
    </r>
    <r>
      <rPr>
        <sz val="9"/>
        <rFont val="Arial"/>
        <family val="2"/>
      </rPr>
      <t xml:space="preserve">REATERRO MANUAL COM SOQUETE, SOMENTE MÃO DE OBRA SERVENTE </t>
    </r>
  </si>
  <si>
    <r>
      <rPr>
        <b/>
        <sz val="9"/>
        <color indexed="8"/>
        <rFont val="Arial"/>
        <family val="2"/>
      </rPr>
      <t>OK -</t>
    </r>
    <r>
      <rPr>
        <sz val="9"/>
        <color indexed="8"/>
        <rFont val="Arial"/>
        <family val="2"/>
      </rPr>
      <t xml:space="preserve"> TRANSPORTE CAMINHÃO BASCULANTE 6M3 -  PARA RETIRAR DA OBRA.</t>
    </r>
  </si>
  <si>
    <r>
      <rPr>
        <b/>
        <sz val="9"/>
        <color indexed="8"/>
        <rFont val="Arial"/>
        <family val="2"/>
      </rPr>
      <t>OK -</t>
    </r>
    <r>
      <rPr>
        <sz val="9"/>
        <color indexed="8"/>
        <rFont val="Arial"/>
        <family val="2"/>
      </rPr>
      <t xml:space="preserve"> ESCAVAÇÃO MANUAL -</t>
    </r>
    <r>
      <rPr>
        <b/>
        <sz val="9"/>
        <color indexed="8"/>
        <rFont val="Arial"/>
        <family val="2"/>
      </rPr>
      <t>BLOCO</t>
    </r>
    <r>
      <rPr>
        <sz val="9"/>
        <color indexed="8"/>
        <rFont val="Arial"/>
        <family val="2"/>
      </rPr>
      <t xml:space="preserve"> - SOMENTE MÃO DE OBRA:  </t>
    </r>
    <r>
      <rPr>
        <sz val="9"/>
        <color indexed="8"/>
        <rFont val="Arial"/>
        <family val="2"/>
      </rPr>
      <t>SERVENTE + PEDREIRO</t>
    </r>
  </si>
  <si>
    <r>
      <rPr>
        <b/>
        <sz val="9"/>
        <color indexed="8"/>
        <rFont val="Arial"/>
        <family val="2"/>
      </rPr>
      <t xml:space="preserve">OK - </t>
    </r>
    <r>
      <rPr>
        <sz val="9"/>
        <color indexed="8"/>
        <rFont val="Arial"/>
        <family val="2"/>
      </rPr>
      <t>CARGA, MANOBRA E DESCARGA DE SOLOS, CAMINHÃO BASCULANTE 6M3 - TRAZER  PARA DENTRO DOBRA .</t>
    </r>
  </si>
  <si>
    <r>
      <rPr>
        <b/>
        <sz val="9"/>
        <color indexed="8"/>
        <rFont val="Arial"/>
        <family val="2"/>
      </rPr>
      <t xml:space="preserve">OK </t>
    </r>
    <r>
      <rPr>
        <sz val="9"/>
        <color indexed="8"/>
        <rFont val="Arial"/>
        <family val="2"/>
      </rPr>
      <t>- REGULARIZAÇÃO ECOMPATAÇÃO .</t>
    </r>
  </si>
  <si>
    <r>
      <rPr>
        <b/>
        <sz val="9"/>
        <color indexed="8"/>
        <rFont val="Arial"/>
        <family val="2"/>
      </rPr>
      <t xml:space="preserve">OK </t>
    </r>
    <r>
      <rPr>
        <sz val="9"/>
        <color indexed="8"/>
        <rFont val="Arial"/>
        <family val="2"/>
      </rPr>
      <t>- ESCAVAÇÃO MECANIZADA ???</t>
    </r>
  </si>
  <si>
    <t>MEM.CÁL PROJ ESTRUTURAL - OK</t>
  </si>
  <si>
    <t>ARMADURA PILAR/VIGA= 0,154kg/m</t>
  </si>
  <si>
    <t>ARMADURA BLOCO/VIGA= 0,154kg/m</t>
  </si>
  <si>
    <t>ARMADURA PILAR/VIGA= 0,395kg/m</t>
  </si>
  <si>
    <r>
      <t xml:space="preserve">FORMA - </t>
    </r>
    <r>
      <rPr>
        <sz val="9"/>
        <color indexed="12"/>
        <rFont val="Arial"/>
        <family val="2"/>
      </rPr>
      <t xml:space="preserve">(2 lados) </t>
    </r>
    <r>
      <rPr>
        <sz val="9"/>
        <rFont val="Arial"/>
        <family val="2"/>
      </rPr>
      <t xml:space="preserve">- </t>
    </r>
  </si>
  <si>
    <t>SERVIÇOS INICIAIS</t>
  </si>
  <si>
    <t xml:space="preserve">INFRAESTRUTURA </t>
  </si>
  <si>
    <t>SUPRAESTRUTURA</t>
  </si>
  <si>
    <t xml:space="preserve">LOUÇÃS E METAIS </t>
  </si>
  <si>
    <t>PINTURA INTERNA/EXTERNA</t>
  </si>
  <si>
    <t xml:space="preserve">VIDROS </t>
  </si>
  <si>
    <t>REVESTIMENTO DE PAREDES INTERNO/EXTERNO</t>
  </si>
  <si>
    <t xml:space="preserve">COBERTURA </t>
  </si>
  <si>
    <t xml:space="preserve">ABRIGO DO GÁS </t>
  </si>
  <si>
    <t>CERCAMENTO - FIXO FRONTAL</t>
  </si>
  <si>
    <t>BANCADA EM MADEIRA - GUICHE DA RECEPÇÃO</t>
  </si>
  <si>
    <t xml:space="preserve">ENGENHEIRO CIVIL DE OBRA PLENO COM ENCARGOS COMPLEMENTARES </t>
  </si>
  <si>
    <t>MESTRE DE OBRAS COM ENCARGOS COMPLEMENTARES</t>
  </si>
  <si>
    <t>14.5</t>
  </si>
  <si>
    <r>
      <t xml:space="preserve">PROCESSO SEI : 19.0.000041709-5 </t>
    </r>
  </si>
  <si>
    <t>4.4</t>
  </si>
  <si>
    <t>4.5</t>
  </si>
  <si>
    <t>4.6</t>
  </si>
  <si>
    <t>4.7</t>
  </si>
  <si>
    <t>4.8</t>
  </si>
  <si>
    <t>4.9</t>
  </si>
  <si>
    <t>5.4</t>
  </si>
  <si>
    <t>5.5</t>
  </si>
  <si>
    <t>5.6</t>
  </si>
  <si>
    <t>6.1</t>
  </si>
  <si>
    <t>6.2</t>
  </si>
  <si>
    <t>ALVENARIA EXTERNA</t>
  </si>
  <si>
    <t>5.7</t>
  </si>
  <si>
    <t xml:space="preserve">ALVENARIA INTERNA </t>
  </si>
  <si>
    <t xml:space="preserve">TRAMA DE MADEIRA COMPOSTA POR TERÇAS PARA TELHADOS ATÉ 2 AGUAS, TELHA ONDULADA DE FIBROCIMENTO - FORNECIMENTO E INSTALAÇÃO </t>
  </si>
  <si>
    <t>7.11</t>
  </si>
  <si>
    <t xml:space="preserve">TORNEIRA CROMADA CLINICA DE ALAVANCA - CURTA DE MESA 1/4" DE VOLTA - PARA LAVATÓRIO - BICA BAIXA, PADRÃO POPULAR - FORNECIMENTO E INSTALAÇÃO. 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</si>
  <si>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</si>
  <si>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</si>
  <si>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</si>
  <si>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</si>
  <si>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</si>
  <si>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</si>
  <si>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</si>
  <si>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</si>
  <si>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</si>
  <si>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</si>
  <si>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</si>
  <si>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</si>
  <si>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</si>
  <si>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</si>
  <si>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</si>
  <si>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</si>
  <si>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</si>
  <si>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</si>
  <si>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</si>
  <si>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</si>
  <si>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</si>
  <si>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</si>
  <si>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</si>
  <si>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</si>
  <si>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</si>
  <si>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</si>
  <si>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</si>
  <si>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</si>
  <si>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</si>
  <si>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</si>
  <si>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</si>
  <si>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</si>
  <si>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</si>
  <si>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</si>
  <si>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</si>
  <si>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</si>
  <si>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</si>
  <si>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</si>
  <si>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</si>
  <si>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</si>
  <si>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</si>
  <si>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</si>
  <si>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</si>
  <si>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</si>
  <si>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</si>
  <si>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</si>
  <si>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</si>
  <si>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</si>
  <si>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</si>
  <si>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</si>
  <si>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</si>
  <si>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</si>
  <si>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</si>
  <si>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</si>
  <si>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</si>
  <si>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</si>
  <si>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</si>
  <si>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</si>
  <si>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</si>
  <si>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</si>
  <si>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15.1</t>
  </si>
  <si>
    <t>INSTALAÇÕES ELÉTRICAS GERAIS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</si>
  <si>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</si>
  <si>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</si>
  <si>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</si>
  <si>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</si>
  <si>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</si>
  <si>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</si>
  <si>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</si>
  <si>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</si>
  <si>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</si>
  <si>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</si>
  <si>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</si>
  <si>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</si>
  <si>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</si>
  <si>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</si>
  <si>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</si>
  <si>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</si>
  <si>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</si>
  <si>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</si>
  <si>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</si>
  <si>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</si>
  <si>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</si>
  <si>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</si>
  <si>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ELETRODUTO RÍGIDO SOLDÁVEL, PVC, DN 20 MM (½), APARENTE, INSTALADO EM PAREDE - FORNECIMENTO E INSTALAÇÃO. AF_11/2016_P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</si>
  <si>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</si>
  <si>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</si>
  <si>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</si>
  <si>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</si>
  <si>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</si>
  <si>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</si>
  <si>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</si>
  <si>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</si>
  <si>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1.17</t>
  </si>
  <si>
    <t>MOBILIZAÇÃO E DESMOBILIZAÇÃO</t>
  </si>
  <si>
    <t>1.18</t>
  </si>
  <si>
    <t>1.19</t>
  </si>
  <si>
    <t>1.20</t>
  </si>
  <si>
    <t>MOBILIZAÇÃO (FRETE DE FERRAMENTAS E MATERIAIS)</t>
  </si>
  <si>
    <t>DESMOBILIZAÇÃO(RETIRADA DE ENTULHO, DAS LIGAÇÕES PROVISÓRIAS, PLACA DE OBRA E TAPUME)</t>
  </si>
  <si>
    <t>2.1</t>
  </si>
  <si>
    <t>meses</t>
  </si>
  <si>
    <t>CALHA/CANALETA DE PISO, COM GRELHA FOFO ARTICULADA, COM REQUADRO, CARGA MÁXIMA 1,5 T, 150X1000MM, ESP= 15MM, FORNECIMENTO E INSTALAÇÃO.</t>
  </si>
  <si>
    <t>ADMINISTRAÇÃO LOCAL DA OBRA</t>
  </si>
  <si>
    <t xml:space="preserve">Responsável Técnico: Newton Carlos Bastos Bueno </t>
  </si>
  <si>
    <t xml:space="preserve">Título: Engenheiro Civil </t>
  </si>
  <si>
    <t>Matrícula: 760769</t>
  </si>
  <si>
    <t>CREA: 70135</t>
  </si>
  <si>
    <t>Responsável Técnico: Enio Ricardo Dorvil Coelho</t>
  </si>
  <si>
    <t>Matrícula: 319299</t>
  </si>
  <si>
    <t>CREA: 60852</t>
  </si>
  <si>
    <t>ALVENARIAS (Dimensões projeto arquitetônico)</t>
  </si>
  <si>
    <t xml:space="preserve">ADMINISTRAÇÃO LOCAL DA OBRA </t>
  </si>
  <si>
    <t>16.3</t>
  </si>
  <si>
    <t>16.4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</si>
  <si>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</si>
  <si>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</si>
  <si>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</si>
  <si>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</si>
  <si>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</si>
  <si>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</si>
  <si>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</si>
  <si>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</si>
  <si>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</si>
  <si>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</si>
  <si>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</si>
  <si>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</si>
  <si>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</si>
  <si>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19.3</t>
  </si>
  <si>
    <t>19.4</t>
  </si>
  <si>
    <t xml:space="preserve">POSTE DE CONCRETO COMPRIMENTO DE 9M, FORNECIMENTO E INSTALAÇÃO  </t>
  </si>
  <si>
    <t>PLACA DE OBRA EM CHAPA GALVANIZADA Nº 22, FORNECIMENTO E INSTALAÇÃO.</t>
  </si>
  <si>
    <t>LIMPEZA MANUAL DE VEGETAÇÃO EM TERRENO COM ENXADA.</t>
  </si>
  <si>
    <t>LIMPEZA MECANIZADA DE CAMADA VEGETAL, VEGETAÇÃO E PEQUENAS ÁRVORES (DIÂMETRO DE TRONCO MENOR QUE 0,20 M), COM TRATOR DE ESTEIRAS.</t>
  </si>
  <si>
    <t>CORTE RASO E RECORTE DE ÁRVORE COM DIÂMETRO DE TRONCO MAIOR OU IGUAL A 0,60 M.</t>
  </si>
  <si>
    <t>REMOÇÃO DE RAÍZES REMANESCENTES DE TRONCO DE ÁRVORE COM DIÂMETRO MAIOR OU IGUAL A 0,60 M.</t>
  </si>
  <si>
    <t>PODA EM ALTURA DE ÁRVORE COM DIÂMETRO DE TRONCO MAIOR OU IGUAL A 0,60 M.</t>
  </si>
  <si>
    <t xml:space="preserve">CARGA, MANOBRA E DESCARGA DE SOLOS E MATERIAIS GRANULARES EM CAMINHÃO BASCULANTE 14 M³ - CARGA COM PÁ CARREGADEIRA (CAÇAMBA DE 1,7 A 2,8 M³ / 128 HP) E DESCARGA LIVRE (UNIDADE: M3). </t>
  </si>
  <si>
    <t xml:space="preserve">TRANSPORTE COM CAMINHÃO BASCULANTE DE 14 M³, EM VIA INTERNA (DENTRO DO CANTEIRO - UNIDADE:M3XKM). </t>
  </si>
  <si>
    <t xml:space="preserve">TAPUME COM COMPENSADO DE MADEIRA. </t>
  </si>
  <si>
    <t xml:space="preserve">ENTRADA DE ENERGIA ELÉTRICA, AÉREA, TRIFÁSICA, COM CAIXA DE SOBREPOR, CABO DE 10 MM2 E DISJUNTOR DIN 50A (NÃO INCLUSO O POSTE DE CONCRETO). </t>
  </si>
  <si>
    <t xml:space="preserve">LOCAÇÃO DE PONTO PARA REFERÊNCIA TOPOGRÁFICA. </t>
  </si>
  <si>
    <t xml:space="preserve">LOCACAO CONVENCIONAL DE OBRA, UTILIZANDO GABARITO DE TÁBUAS CORRIDAS PONTALETADAS A CADA 2,00M -  2 UTILIZAÇÕES. </t>
  </si>
  <si>
    <t xml:space="preserve">DEMOLIÇÃO DE ALVENARIA DE BLOCO FURADO, DE FORMA MANUAL, COM REAPROVEITAMENTO. </t>
  </si>
  <si>
    <t xml:space="preserve">EXECUÇÃO DE ESCRITÓRIO EM CANTEIRO DE OBRA EM CHAPA DE MADEIRA COMPENSADA, NÃO INCLUSO MOBILIÁRIO E EQUIPAMENTOS. </t>
  </si>
  <si>
    <t>EXECUÇÃO DE ALMOXARIFADO EM CANTEIRO DE OBRA EM CHAPA DE MADEIRA COMPENSADA, INCLUSO PRATELEIRAS.</t>
  </si>
  <si>
    <t xml:space="preserve">EXECUÇÃO DE SANITÁRIO E VESTIÁRIO EM CANTEIRO DE OBRA EM CHAPA DE MADEIRA COMPENSADA, NÃO INCLUSO MOBILIÁRIO. </t>
  </si>
  <si>
    <t xml:space="preserve">EXECUÇÃO DE CENTRAL DE ARMADURA EM CANTEIRO DE OBRA, NÃO INCLUSO MOBILIÁRIO E EQUIPAMENTOS. </t>
  </si>
  <si>
    <t>ESCAVAÇÃO MANUAL DE VALA COM PROFUNDIDADE MENOR OU IGUAL A 1,30 M.</t>
  </si>
  <si>
    <t xml:space="preserve">ESCAVAÇÃO MANUAL PARA BLOCO DE COROAMENTO OU SAPATA, COM PREVISÃO DE FÔRMA. </t>
  </si>
  <si>
    <t xml:space="preserve">REATERRO MANUAL APILOADO COM SOQUETE. </t>
  </si>
  <si>
    <t xml:space="preserve">TRANSPORTE COM CAMINHÃO BASCULANTE DE 6 M³, EM VIA URBANA PAVIMENTADA, DMT ATÉ 30 KM (UNIDADE: M3XKM). </t>
  </si>
  <si>
    <t xml:space="preserve">CARGA, MANOBRA E DESCARGA DE SOLOS E MATERIAIS GRANULARES EM CAMINHÃO BASCULANTE 6 M³ - CARGA COM PÁ CARREGADEIRA (CAÇAMBA DE 1,7 A 2,8 M³ / 128 HP) E DESCARGA LIVRE (UNIDADE: M3). </t>
  </si>
  <si>
    <t xml:space="preserve">ESCAVAÇÃO HORIZONTAL, INCLUINDO ESCARIFICAÇÃO, CARGA, DESCARGA E TRANSPORTE EM SOLO DE 2A CATEGORIA COM TRATOR DE ESTEIRAS (150HP/LÂMINA: 3,18M3) E CAMINHÃO BASCULANTE DE 10M3, DMT ATÉ 200M. </t>
  </si>
  <si>
    <t xml:space="preserve">REGULARIZAÇÃO E COMPACTAÇÃO DE SUBLEITO DE SOLO  PREDOMINANTEMENTE ARGILOSO. </t>
  </si>
  <si>
    <t xml:space="preserve">ESTACA PRÉ-MOLDADA DE CONCRETO, SEÇÃO QUADRADA, CAPACIDADE DE 25 TONELADAS, INCLUSO EMENDA (EXCLUSIVE MOBILIZAÇÃO E DESMOBILIZAÇÃO). </t>
  </si>
  <si>
    <r>
      <t xml:space="preserve">ARMAÇÃO DE BLOCO, VIGA BALDRAME OU SAPATA UTILIZANDO AÇO CA-50 DE </t>
    </r>
    <r>
      <rPr>
        <sz val="9"/>
        <color indexed="8"/>
        <rFont val="Arial"/>
        <family val="2"/>
      </rPr>
      <t xml:space="preserve">6,3 MM - MONTAGEM. </t>
    </r>
  </si>
  <si>
    <r>
      <t>ARMAÇÃO DE BLOCO, VIGA BALDRAME OU SAPATA UTILIZANDO AÇO CA-50 DE</t>
    </r>
    <r>
      <rPr>
        <sz val="9"/>
        <color indexed="8"/>
        <rFont val="Arial"/>
        <family val="2"/>
      </rPr>
      <t xml:space="preserve"> 10 MM - MONTAGEM. </t>
    </r>
  </si>
  <si>
    <r>
      <t xml:space="preserve">FABRICAÇÃO, MONTAGEM E DESMONTAGEM DE FÔRMA PARA </t>
    </r>
    <r>
      <rPr>
        <sz val="9"/>
        <color indexed="8"/>
        <rFont val="Arial"/>
        <family val="2"/>
      </rPr>
      <t xml:space="preserve">BLOCO DE COROAMENTO, EM MADEIRA SERRADA, E=25 MM, 4 UTILIZAÇÕES. </t>
    </r>
  </si>
  <si>
    <r>
      <t xml:space="preserve">CONCRETAGEM DE </t>
    </r>
    <r>
      <rPr>
        <sz val="9"/>
        <color indexed="8"/>
        <rFont val="Arial"/>
        <family val="2"/>
      </rPr>
      <t xml:space="preserve">BLOCOS DE COROAMENTO E VIGAS BALDRAMES, FCK 30 MPA, COM USO DE BOMBA  LANÇAMENTO, ADENSAMENTO E ACABAMENTO. </t>
    </r>
  </si>
  <si>
    <t xml:space="preserve">ARMAÇÃO DE BLOCO, VIGA BALDRAME E SAPATA UTILIZANDO AÇO CA-60 DE 5 MM - MONTAGEM. </t>
  </si>
  <si>
    <t xml:space="preserve">ARMAÇÃO DE BLOCO, VIGA BALDRAME OU SAPATA UTILIZANDO AÇO CA-50 DE 8 MM - MONTAGEM. </t>
  </si>
  <si>
    <r>
      <t xml:space="preserve">FABRICAÇÃO, MONTAGEM E DESMONTAGEM DE FÔRMA PARA </t>
    </r>
    <r>
      <rPr>
        <sz val="9"/>
        <color indexed="8"/>
        <rFont val="Arial"/>
        <family val="2"/>
      </rPr>
      <t xml:space="preserve">VIGA BALDRAME, EM MADEIRA SERRADA, E=25 MM, 4 UTILIZAÇÕES. </t>
    </r>
  </si>
  <si>
    <t xml:space="preserve">IMPERMEABILIZAÇÃO DE SUPERFÍCIE COM ARGAMASSA POLIMÉRICA / MEMBRANA ACRÍLICA, 3 DEMÃOS. </t>
  </si>
  <si>
    <t xml:space="preserve">ARMAÇÃO DE PILAR OU VIGA DE UMA ESTRUTURA CONVENCIONAL DE CONCRETO ARMADO EM UM EDIFÍCIO DE MÚLTIPLOS PAVIMENTOS UTILIZANDO AÇO CA-60 DE 5,0 MM - MONTAGEM. </t>
  </si>
  <si>
    <t xml:space="preserve">ARMAÇÃO DE PILAR OU VIGA DE UMA ESTRUTURA CONVENCIONAL DE CONCRETO ARMADO EM UM EDIFÍCIO DE MÚLTIPLOS PAVIMENTOS UTILIZANDO AÇO CA-50 DE 8,0 MM - MONTAGEM. </t>
  </si>
  <si>
    <t xml:space="preserve">ARMAÇÃO DE PILAR OU VIGA DE UMA ESTRUTURA CONVENCIONAL DE CONCRETO ARMADO EM UM EDIFÍCIO DE MÚLTIPLOS PAVIMENTOS UTILIZANDO AÇO CA-50 DE 10,0 MM - MONTAGEM. </t>
  </si>
  <si>
    <t>CONCRETAGEM DE PILARES, FCK = 25 MPA,  COM USO DE BALDES EM EDIFICAÇÃO COM SEÇÃO MÉDIA DE PILARES MENOR OU IGUAL A 0,25 M² - LANÇAMENTO, ADENSAMENTO E ACABAMENTO.</t>
  </si>
  <si>
    <t xml:space="preserve">CONTRAVERGA MOLDADA IN LOCO EM CONCRETO PARA VÃOS DE ATÉ 1,5 M DE COMPRIMENTO. </t>
  </si>
  <si>
    <t xml:space="preserve">CONTRAVERGA MOLDADA IN LOCO EM CONCRETO PARA VÃOS DE MAIS DE 1,5 M DE COMPRIMENTO. </t>
  </si>
  <si>
    <t xml:space="preserve">LAJE PRÉ-MOLDADA UNIDIRECIONAL, BIAPOIADA, PARA PISO, ENCHIMENTO EM CERÂMICA, VIGOTA CONVENCIONAL, ALTURA TOTAL DA LAJE (ENCHIMENTO+CAPA) = (8+4). </t>
  </si>
  <si>
    <t xml:space="preserve">ALVENARIA DE VEDAÇÃO DE BLOCOS CERÂMICOS FURADOS NA VERTICAL DE 14X19X39CM (ESPESSURA 14CM) DE PAREDES COM ÁREA LÍQUIDA MAIOR OU IGUAL A 6M² COM VÃOS E ARGAMASSA DE ASSENTAMENTO COM PREPARO EM BETONEIRA. </t>
  </si>
  <si>
    <t xml:space="preserve">ALVENARIA DE VEDAÇÃO DE BLOCOS CERÂMICOS FURADOS NA VERTICAL DE 9X19X39CM (ESPESSURA 9CM) DE PAREDES COM ÁREA LÍQUIDA MAIOR OU IGUAL A 6M² COM VÃOS E ARGAMASSA DE ASSENTAMENTO COM PREPARO MANUAL. </t>
  </si>
  <si>
    <t xml:space="preserve">TELHAMENTO COM TELHA ONDULADA DE FIBROCIMENTO E = 6 MM, COM RECOBRIMENTO LATERAL DE 1 1/4 DE ONDA PARA TELHADO COM INCLINAÇÃO MÁXIMA DE 10°, COM ATÉ 2 ÁGUAS, INCLUSO IÇAMENTO. </t>
  </si>
  <si>
    <t xml:space="preserve">CUMEEIRA PARA TELHA DE FIBROCIMENTO ONDULADA E = 6 MM, INCLUSO ACESSÓRIOS DE FIXAÇÃO E IÇAMENTO. </t>
  </si>
  <si>
    <t xml:space="preserve">CALHA EM CHAPA DE AÇO GALVANIZADO NÚMERO 24, DESENVOLVIMENTO DE 50 CM, INCLUSO TRANSPORTE VERTICAL. </t>
  </si>
  <si>
    <t xml:space="preserve">CHAPIM (RUFO CAPA) EM AÇO GALVANIZADO, CORTE 33. </t>
  </si>
  <si>
    <t>RUFO EXTERNO/INTERNO EM CHAPA DE AÇO GALVANIZADO NÚMERO 26, CORTE DE 33 CM, INCLUSO IÇAMENTO.</t>
  </si>
  <si>
    <t xml:space="preserve">FORRO DE PVC, LISO, PARA AMBIENTES COMERCIAIS, INCLUSIVE ESTRUTURA DE FIXAÇÃO. </t>
  </si>
  <si>
    <t xml:space="preserve">ACABAMENTOS PARA FORRO (RODA-FORRO EM PERFIL METÁLICO E PLÁSTICO). </t>
  </si>
  <si>
    <t>ALÇAPÃO DE ABRIR EM ALUMÍNIO TIPO VENEZIANA COM REQUADRO, FIXAÇÃO COM PARAFUSOS- FORNECIMENTO E INSTALAÇÃO.</t>
  </si>
  <si>
    <t>CHAPISCO APLICADO EM ALVENARIAS E ESTRUTURAS DE CONCRETO INTERNAS, COM COLHER DE PEDREIRO.  ARGAMASSA TRAÇO 1:3 COM PREPARO MANUAL.</t>
  </si>
  <si>
    <t>CHAPISCO APLICADO EM ALVENARIA (SEM PRESENÇA DE VÃOS) E ESTRUTURAS DE CONCRETO DE FACHADA, COM COLHER DE PEDREIRO.  ARGAMASSA TRAÇO 1:3 COM PREPARO MANUAL.</t>
  </si>
  <si>
    <t xml:space="preserve">EMBOÇO OU MASSA ÚNICA EM ARGAMASSA TRAÇO 1:2:8, PREPARO MECÂNICO COM BETONEIRA 400 L, APLICADA MANUALMENTE EM PANOS DE FACHADA COM PRESENÇA DE VÃOS, ESPESSURA DE 25 MM. </t>
  </si>
  <si>
    <t xml:space="preserve">MASSA ÚNICA, PARA RECEBIMENTO DE PINTURA, EM ARGAMASSA TRAÇO 1:2:8, PREPARO MANUAL, APLICADA MANUALMENTE EM FACES INTERNAS DE PAREDES, ESPESSURA DE 20MM, COM EXECUÇÃO DE TALISCAS. </t>
  </si>
  <si>
    <t xml:space="preserve">REVESTIMENTO CERÂMICO PARA PAREDES INTERNAS COM PLACAS TIPO ESMALTADA PADRÃO POPULAR DE DIMENSÕES 20X20 CM, ARGAMASSA TIPO AC I, APLICADAS EM AMBIENTES DE ÁREA MAIOR QUE 5 M2 A MEIA ALTURA DAS PAREDES. </t>
  </si>
  <si>
    <t xml:space="preserve">LASTRO COM MATERIAL GRANULAR, APLICAÇÃO EM PISOS OU RADIERS, ESPESSURA DE *5 CM*. </t>
  </si>
  <si>
    <t xml:space="preserve">LASTRO DE CONCRETO MAGRO, APLICADO EM PISOS, LAJES SOBRE SOLO OU RADIERS, ESPESSURA DE 5 CM. </t>
  </si>
  <si>
    <t xml:space="preserve">REVESTIMENTO CERÂMICO PARA PISO COM PLACAS TIPO ESMALTADA EXTRA DE DIMENSÕES 45X45 CM APLICADA EM AMBIENTES DE ÁREA MAIOR QUE 10 M2. </t>
  </si>
  <si>
    <t>RODAPÉ CERÂMICO DE 7CM DE ALTURA COM PLACAS TIPO ESMALTADA EXTRA DE DIMENSÕES 45X45CM.</t>
  </si>
  <si>
    <t xml:space="preserve">SOLEIRA EM GRANITO, LARGURA 15 CM, ESPESSURA 2,0 CM. </t>
  </si>
  <si>
    <t xml:space="preserve">CONCRETAGEM DE RADIER, PISO OU LAJE SOBRE SOLO, FCK 30 MPA, PARA ESPESSURA DE 10 CM - LANÇAMENTO, ADENSAMENTO E ACABAMENTO. </t>
  </si>
  <si>
    <t xml:space="preserve">PISO CIMENTADO, TRAÇO 1:3 (CIMENTO E AREIA), ACABAMENTO LISO, ESPESSURA 3,0 CM, PREPARO MECÂNICO DA ARGAMASSA. </t>
  </si>
  <si>
    <t xml:space="preserve">KIT DE PORTA DE MADEIRA PARA PINTURA, SEMI-OCA (LEVE OU MÉDIA), PADRÃO POPULAR, 70X210CM, ESPESSURA DE 3,5CM, ITENS INCLUSOS: DOBRADIÇAS, MONTAGEM E INSTALAÇÃO DO BATENTE, FECHADURA COM EXECUÇÃO DO FURO - FORNECIMENTO E INSTALAÇÃO. </t>
  </si>
  <si>
    <t xml:space="preserve">KIT DE PORTA DE MADEIRA PARA PINTURA, SEMI-OCA (LEVE OU MÉDIA), PADRÃO POPULAR, 80X210CM, ESPESSURA DE 3,5CM, ITENS INCLUSOS: DOBRADIÇAS, MONTAGEM E INSTALAÇÃO DO BATENTE, FECHADURA COM EXECUÇÃO DO FURO - FORNECIMENTO E INSTALAÇÃO. </t>
  </si>
  <si>
    <t xml:space="preserve">PM03=(PCD) - KIT DE PORTA DE MADEIRA PARA PINTURA, SEMI-OCA (LEVE OU MÉDIA), PADRÃO POPULAR, 80X210CM, ESPESSURA DE 3,5CM, ITENS INCLUSOS: DOBRADIÇAS, MONTAGEM E INSTALAÇÃO DO BATENTE, FECHADURA COM EXECUÇÃO DO FURO - FORNECIMENTO E INSTALAÇÃO. </t>
  </si>
  <si>
    <t>PUXADOR PARA PCD, FIXADO NA PORTA - FORNECIMENTO E INSTALAÇÃO.</t>
  </si>
  <si>
    <t xml:space="preserve">PM04 - 02 FLS - PORTA DE MADEIRA PARA PINTURA, SEMI-OCA (MÉDIA), PADRÃO POPULAR, 80X210CM, ESPESSURA DE 3,5CM, ITENS INCLUSOS: DOBRADIÇAS, MONTAGEM E INSTALAÇÃO DO BATENTE, FECHADURA COM EXECUÇÃO DO FURO - FORNECIMENTO E INSTALAÇÃO. </t>
  </si>
  <si>
    <t xml:space="preserve">PORTA EM AÇO DE ABRIR TIPO VENEZIANA SEM GUARNIÇÃO, 87X210CM, FIXAÇÃO COM PARAFUSOS - FORNECIMENTO E INSTALAÇÃO. </t>
  </si>
  <si>
    <t xml:space="preserve">PF01 - (2FLS) - PORTA EM AÇO DE ABRIR PARA VIDRO SEM GUARNIÇÃO, 160X210CM, COM BANDEIRA SUPERIOR TIPO BASCULANTE 160X60CM, COM CONTRAMARCO DE AÇO FIXAÇÃO COM PARAFUSOS, EXCLUSIVE VIDROS - FORNECIMENTO E INSTALAÇÃO. </t>
  </si>
  <si>
    <t xml:space="preserve">FECHADURA DE EMBUTIR COM CILINDRO, EXTERNA, COMPLETA, ACABAMENTO PADRÃO POPULAR, INCLUSO EXECUÇÃO DE FURO - FORNECIMENTO E INSTALAÇÃO. </t>
  </si>
  <si>
    <t xml:space="preserve">JANELA DE AÇO TIPO BASCULANTE PARA VIDROS, COM BATENTE, FERRAGENS E PINTURA ANTICORROSIVA. EXCLUSIVE VIDROS, ACABAMENTO, ALIZAR E CONTRAMARCO. FORNECIMENTO E INSTALAÇÃO. </t>
  </si>
  <si>
    <t xml:space="preserve">PEITORIL LINEAR EM GRANITO OU MÁRMORE, L = 15CM, COMPRIMENTO DE ATÉ 2M, ASSENTADO COM ARGAMASSA 1:6 COM ADITIVO. </t>
  </si>
  <si>
    <t xml:space="preserve">INSTALAÇÃO DE VIDRO IMPRESSO, E = 4 MM, EM ESQUADRIA DE ALUMÍNIO OU PVC, FIXADO COM BAGUETE. </t>
  </si>
  <si>
    <t xml:space="preserve">APLICAÇÃO MANUAL DE FUNDO SELADOR ACRÍLICO EM PAREDES EXTERNAS DE CASAS. </t>
  </si>
  <si>
    <t>APLICAÇÃO MANUAL DE PINTURA COM TINTA LÁTEX ACRÍLICA EM PAREDES, DUAS DEMÃOS.</t>
  </si>
  <si>
    <t xml:space="preserve">PINTURA FUNDO NIVELADOR ALQUÍDICO BRANCO EM MADEIRA. </t>
  </si>
  <si>
    <t>PINTURA TINTA DE ACABAMENTO (PIGMENTADA) ESMALTE SINTÉTICO FOSCO EM MADEIRA, 3 DEMÃOS.</t>
  </si>
  <si>
    <t xml:space="preserve">PINTURA COM TINTA ALQUÍDICA DE FUNDO (TIPO ZARCÃO) APLICADA A ROLO OU PINCEL SOBRE SUPERFÍCIES METÁLICAS (EXCETO PERFIL) EXECUTADO EM OBRA (POR DEMÃO). </t>
  </si>
  <si>
    <t xml:space="preserve">PINTURA COM TINTA ALQUÍDICA DE ACABAMENTO (ESMALTE SINTÉTICO FOSCO) APLICADA A ROLO OU PINCEL SOBRE SUPERFÍCIES METÁLICAS (EXCETO PERFIL) EXECUTADO EM OBRA (02 DEMÃOS). </t>
  </si>
  <si>
    <t xml:space="preserve">CAIXA DE DESCARGA DE PLÁSTICO EXTERNA, 9 LITROS, COM PUXADOR DE NYLON, COM TUBO DE DESCIDA EXTERNO PVC 40MM, ENGATE/RABICHO FLEXÍVEL, 1/2" X 30CM- FORNECIMENTO E INSTALAÇÃO.  </t>
  </si>
  <si>
    <t xml:space="preserve">VASO SANITARIO SIFONADO CONVENCIONAL COM LOUÇA BRANCA, INCLUSO CONJUNTO DE LIGAÇÃO PARA BACIA SANITÁRIA AJUSTÁVEL - FORNECIMENTO E INSTALAÇÃO. </t>
  </si>
  <si>
    <t xml:space="preserve">ASSENTO SANITÁRIO CONVENCIONAL - FORNECIMENTO E INSTALACAO. </t>
  </si>
  <si>
    <t>LAVATÓRIO LOUÇA BRANCA COM COLUNA, *44 X 35,5* CM, PADRÃO POPULAR - FORNECIMENTO E INSTALAÇÃO.</t>
  </si>
  <si>
    <t xml:space="preserve">LAVATÓRIO LOUÇA BRANCA SUSPENSO, 29,5 X 39CM OU EQUIVALENTE, PADRÃO POPULAR - FORNECIMENTO E INSTALAÇÃO. </t>
  </si>
  <si>
    <t xml:space="preserve">BANCADA DE AÇO INOXIDÁVEL, COM 1 CUBA CENTRAL, COM VÁLVULA, LISA(SEM ESCORREDOR), 0,55X1,20M, PARA COZINHA - FORNECIMENTO E INSTALAÇÃO.  </t>
  </si>
  <si>
    <t xml:space="preserve">TORNEIRA CROMADA LONGA, DE PAREDE, 1/2 OU 3/4, PARA PIA DE COZINHA, PADRÃO POPULAR - FORNECIMENTO E INSTALAÇÃO. </t>
  </si>
  <si>
    <t xml:space="preserve">TANQUE DE LOUÇA BRANCA COM COLUNA, 30L OU EQUIVALENTE - FORNECIMENTO E INSTALAÇÃO. </t>
  </si>
  <si>
    <t>TORNEIRA PLÁSTICA 3/4 PARA TANQUE - FORNECIMENTO E INSTALAÇÃO.</t>
  </si>
  <si>
    <t xml:space="preserve">BARRA DE APOIO RETA, EM ACO INOX POLIDO, COMPRIMENTO 60CM, FIXADA NA PAREDE - FORNECIMENTO E INSTALAÇÃO. </t>
  </si>
  <si>
    <t xml:space="preserve">BARRA DE APOIO RETA, EM ACO INOX POLIDO, COMPRIMENTO 80 CM,  FIXADA NA PAREDE - FORNECIMENTO E INSTALAÇÃO. </t>
  </si>
  <si>
    <t xml:space="preserve">KIT DE ACESSORIOS PARA BANHEIRO EM METAL CROMADO, 5 PECAS, INCLUSO FIXAÇÃO. </t>
  </si>
  <si>
    <t xml:space="preserve">TUBO, PVC, SOLDÁVEL, DN 25MM, INSTALADO EM RAMAL OU SUB-RAMAL DE ÁGUA - FORNECIMENTO E INSTALAÇÃO. </t>
  </si>
  <si>
    <t xml:space="preserve">TUBO, PVC, SOLDÁVEL, DN 32MM, INSTALADO EM RAMAL OU SUB-RAMAL DE ÁGUA - FORNECIMENTO E INSTALAÇÃO. </t>
  </si>
  <si>
    <t xml:space="preserve">TUBO, PVC, SOLDÁVEL, DN 40 MM, INSTALADO EM RESERVAÇÃO DE ÁGUA DE EDIFICAÇÃO QUE POSSUA RESERVATÓRIO DE FIBRA/FIBROCIMENTO   FORNECIMENTO E INSTALAÇÃO. </t>
  </si>
  <si>
    <t xml:space="preserve">JOELHO 90 GRAUS, PVC, SOLDÁVEL, DN 25MM, INSTALADO EM RAMAL OU SUB-RAMAL DE ÁGUA - FORNECIMENTO E INSTALAÇÃO. </t>
  </si>
  <si>
    <t xml:space="preserve">JOELHO 90 GRAUS, PVC, SOLDÁVEL, DN 32MM, INSTALADO EM RAMAL OU SUB-RAMAL DE ÁGUA - FORNECIMENTO E INSTALAÇÃO. </t>
  </si>
  <si>
    <t xml:space="preserve">JOELHO 45 GRAUS, PVC, SOLDÁVEL, DN 32MM, INSTALADO EM PRUMADA DE ÁGUA - FORNECIMENTO E INSTALAÇÃO. </t>
  </si>
  <si>
    <t xml:space="preserve">JOELHO 45 GRAUS, PVC, SOLDÁVEL, DN 40MM, INSTALADO EM PRUMADA DE ÁGUA - FORNECIMENTO E INSTALAÇÃO. </t>
  </si>
  <si>
    <t xml:space="preserve">LUVA DE REDUÇÃO, PVC, SOLDÁVEL, DN 32MM X 25MM, INSTALADO EM RAMAL OU SUB-RAMAL DE ÁGUA - FORNECIMENTO E INSTALAÇÃO. </t>
  </si>
  <si>
    <t xml:space="preserve">LUVA DE REDUÇÃO, PVC, SOLDÁVEL, DN 40MM X 32MM, INSTALADO EM RAMAL OU SUB-RAMAL DE ÁGUA - FORNECIMENTO E INSTALAÇÃO. </t>
  </si>
  <si>
    <t xml:space="preserve">TE, PVC, SOLDÁVEL, DN 25MM, INSTALADO EM RAMAL OU SUB-RAMAL DE ÁGUA - FORNECIMENTO E INSTALAÇÃO. </t>
  </si>
  <si>
    <t xml:space="preserve">TE, PVC, SOLDÁVEL, DN 32MM, INSTALADO EM RAMAL OU SUB-RAMAL DE ÁGUA - FORNECIMENTO E INSTALAÇÃO. </t>
  </si>
  <si>
    <t xml:space="preserve">TE, PVC, SOLDÁVEL, DN 40MM, INSTALADO EM PRUMADA DE ÁGUA - FORNECIMENTO E INSTALAÇÃO. </t>
  </si>
  <si>
    <t xml:space="preserve">TÊ DE REDUÇÃO, PVC, SOLDÁVEL, DN 32MM X 25MM, INSTALADO EM RAMAL OU SUB-RAMAL DE ÁGUA - FORNECIMENTO E INSTALAÇÃO. </t>
  </si>
  <si>
    <t xml:space="preserve">REGISTRO DE GAVETA BRUTO, LATÃO, ROSCÁVEL, 3/4", COM ACABAMENTO E CANOPLA CROMADOS. FORNECIDO E INSTALADO EM RAMAL DE ÁGUA. </t>
  </si>
  <si>
    <t xml:space="preserve">ADAPTADOR CURTO COM BOLSA E ROSCA PARA REGISTRO, PVC, SOLDÁVEL, DN 25MM X 3/4, INSTALADO EM RAMAL OU SUB-RAMAL DE ÁGUA - FORNECIMENTO E INSTALAÇÃO. </t>
  </si>
  <si>
    <t xml:space="preserve">REGISTRO DE ESFERA, PVC, SOLDÁVEL, DN  40 MM, INSTALADO EM RESERVAÇÃO DE ÁGUA DE EDIFICAÇÃO QUE POSSUA RESERVATÓRIO DE FIBRA/FIBROCIMENTO   FORNECIMENTO E INSTALAÇÃO. </t>
  </si>
  <si>
    <t xml:space="preserve">ADAPTADOR CURTO COM BOLSA E ROSCA PARA REGISTRO, PVC, SOLDÁVEL, DN 40MM X 1.1/4, INSTALADO EM PRUMADA DE ÁGUA - FORNECIMENTO E INSTALAÇÃO. </t>
  </si>
  <si>
    <t xml:space="preserve">JOELHO 90 GRAUS COM BUCHA DE LATÃO, PVC, SOLDÁVEL, DN 25MM, X 1/2 INSTALADO EM RAMAL OU SUB-RAMAL DE ÁGUA - FORNECIMENTO E INSTALAÇÃO. </t>
  </si>
  <si>
    <t xml:space="preserve">ENGATE FLEXÍVEL EM PLÁSTICO BRANCO, 1/2 X 30CM - FORNECIMENTO E INSTALAÇÃO. </t>
  </si>
  <si>
    <t>PLUG PVC ROSCÁVEL, 1/2", ÀGUA FRIA PREDIAL, FORNECIMENTO E INSTALAÇÃO.</t>
  </si>
  <si>
    <t>BOLSA DE LIGAÇÃO EM PVC FLEXÍVEL PARA VASO SANITÁRIO, 11/2"(40MM), FORNECIMENTO E INSTALAÇÃO.</t>
  </si>
  <si>
    <t xml:space="preserve">COLETOR PREDIAL DE ESGOTO, DA CAIXA ATÉ A REDE (DISTÂNCIA = 10 M, LARGURA DA VALA = 0,65 M), INCLUINDO ESCAVAÇÃO MANUAL, PREPARO DE FUNDO DE VALA E REATERRO MANUAL COM COMPACTAÇÃO MECANIZADA, TUBO PVC P/ REDE COLETORA ESGOTO JEI DN 100 MM E CONEXÕES - FORNECIMENTO E INSTALAÇÃO. </t>
  </si>
  <si>
    <t xml:space="preserve">TUBO PVC, SERIE NORMAL, ESGOTO PREDIAL, DN 40 MM, FORNECIDO E INSTALADO EM RAMAL DE DESCARGA OU RAMAL DE ESGOTO SANITÁRIO. </t>
  </si>
  <si>
    <t xml:space="preserve">TUBO PVC, SERIE NORMAL, ESGOTO PREDIAL, DN 50 MM, FORNECIDO E INSTALADO EM RAMAL DE DESCARGA OU RAMAL DE ESGOTO SANITÁRIO. </t>
  </si>
  <si>
    <t xml:space="preserve">TUBO PVC, SERIE NORMAL, ESGOTO PREDIAL, DN 75 MM, FORNECIDO E INSTALADO EM RAMAL DE DESCARGA OU RAMAL DE ESGOTO SANITÁRIO. </t>
  </si>
  <si>
    <t xml:space="preserve">TUBO PVC, SERIE NORMAL, ESGOTO PREDIAL, DN 100 MM, FORNECIDO E INSTALADO EM RAMAL DE DESCARGA OU RAMAL DE ESGOTO SANITÁRIO. </t>
  </si>
  <si>
    <t xml:space="preserve">JOELHO 90 GRAUS, PVC, SERIE NORMAL, ESGOTO PREDIAL, DN 40 MM, JUNTA SOLDÁVEL, FORNECIDO E INSTALADO EM RAMAL DE DESCARGA OU RAMAL DE ESGOTO SANITÁRIO. </t>
  </si>
  <si>
    <t xml:space="preserve">JOELHO 45 GRAUS, PVC, SERIE NORMAL, ESGOTO PREDIAL, DN 50 MM, JUNTA ELÁSTICA, FORNECIDO E INSTALADO EM RAMAL DE DESCARGA OU RAMAL DE ESGOTO SANITÁRIO. </t>
  </si>
  <si>
    <t xml:space="preserve">JOELHO 45 GRAUS, PVC, SERIE NORMAL, ESGOTO PREDIAL, DN 75 MM, JUNTA ELÁSTICA, FORNECIDO E INSTALADO EM RAMAL DE DESCARGA OU RAMAL DE ESGOTO SANITÁRIO. </t>
  </si>
  <si>
    <t xml:space="preserve">JOELHO 45 GRAUS, PVC, SERIE NORMAL, ESGOTO PREDIAL, DN 100 MM, JUNTA ELÁSTICA, FORNECIDO E INSTALADO EM RAMAL DE DESCARGA OU RAMAL DE ESGOTO SANITÁRIO. </t>
  </si>
  <si>
    <t xml:space="preserve">CURVA CURTA 90 GRAUS, PVC, SERIE NORMAL, ESGOTO PREDIAL, DN 100 MM, JUNTA ELÁSTICA, FORNECIDO E INSTALADO EM RAMAL DE DESCARGA OU RAMAL DE ESGOTO SANITÁRIO. </t>
  </si>
  <si>
    <t xml:space="preserve">JUNÇÃO SIMPLES, PVC, SERIE NORMAL, ESGOTO PREDIAL, DN 100 X 100 MM, JUNTA ELÁSTICA, FORNECIDO E INSTALADO EM RAMAL DE DESCARGA OU RAMAL DE ESGOTO SANITÁRIO. </t>
  </si>
  <si>
    <t>REDUÇÃO EXCÊNTRICA PVC, PARA ESGOTO PREDIAL, DN 100 X 50 MM, JUNTA ELÁSTICA, FORNECIDA E INSTALADA EM RAMAL DE DESGARGA OU EM RAMAL DE ESGOTO SANITÁRIO.</t>
  </si>
  <si>
    <t xml:space="preserve">JUNÇÃO SIMPLES, PVC, SERIE NORMAL, ESGOTO PREDIAL, DN 75 X 75 MM, JUNTA ELÁSTICA, FORNECIDO E INSTALADO EM RAMAL DE DESCARGA OU RAMAL DE ESGOTO SANITÁRIO. </t>
  </si>
  <si>
    <t xml:space="preserve">REDUÇÃO EXCÊNTRICA, PVC, SERIE R, ÁGUA PLUVIAL, DN 75 X 50 MM, JUNTA ELÁSTICA, FORNECIDO E INSTALADO EM RAMAL DE ENCAMINHAMENTO. </t>
  </si>
  <si>
    <t xml:space="preserve">TE, PVC, SERIE NORMAL, ESGOTO PREDIAL, DN 100 X 100 MM, JUNTA ELÁSTICA, FORNECIDO E INSTALADO EM RAMAL DE DESCARGA OU RAMAL DE ESGOTO SANITÁRIO. </t>
  </si>
  <si>
    <t xml:space="preserve">SIFÃO DO TIPO GARRAFA/COPO EM PVC 1.1/4  X 1.1/2 - FORNECIMENTO E INSTALAÇÃO. </t>
  </si>
  <si>
    <t xml:space="preserve">VÁLVULA EM METAL CROMADO 1.1/2 X 1.1/2 PARA TANQUE OU LAVATÓRIO, COM OU SEM LADRÃO - FORNECIMENTO E INSTALAÇÃO. </t>
  </si>
  <si>
    <t xml:space="preserve">VÁLVULA EM METAL CROMADO TIPO AMERICANA 3.1/2 X 1.1/2 PARA PIA - FORNECIMENTO E INSTALAÇÃO. </t>
  </si>
  <si>
    <t>CAIXA SIFONADA PVC, DN 150 X 150 X 50 MM, JUNTA ELÁSTICA, COM GRELHA QUADRADA, FORNECIDA   E INSTALADA EM RAMAL DE DESCARGA OU EM RAMAL DE ESGOTO SANITÁRIO.</t>
  </si>
  <si>
    <t>CAIXA SIFONADA PVC, DN 250 X 230  X 75 MM, JUNTA ELÁSTICA, COM TAMPA E PORTA TAMPA QUADRADA, FORNECIDA   E INSTALADA EM RAMAL DE DESCARGA OU EM RAMAL DE ESGOTO SANITÁRIO.</t>
  </si>
  <si>
    <t xml:space="preserve">CAIXA ENTERRADA HIDRÁULICA RETANGULAR EM ALVENARIA COM TIJOLOS CERÂMICOS MACIÇOS, DIMENSÕES INTERNAS: 0,6X0,6X0,6 M PARA REDE DE ESGOTO. </t>
  </si>
  <si>
    <t>PLUG PVC, PARA ESGOTO PREDIAL 50 MM, FORNECIMENTO E INSTALAÇÃO.</t>
  </si>
  <si>
    <t xml:space="preserve">ADAPTADOR PVC, ROSCÁVEL, PARA PIA OU LAVATÓRIO 40 MM - FORNECIMENTO E INSTALAÇÃO. </t>
  </si>
  <si>
    <t xml:space="preserve">LUVA SIMPLES, PVC, SERIE NORMAL, ESGOTO PREDIAL, DN 50 MM, JUNTA ELÁSTICA, FORNECIDO E INSTALADO EM RAMAL DE DESCARGA OU RAMAL DE ESGOTO SANITÁRIO. </t>
  </si>
  <si>
    <t xml:space="preserve">JOELHO 90 GRAUS, PVC, SERIE NORMAL, ESGOTO PREDIAL, DN 50 MM, JUNTA ELÁSTICA, FORNECIDO E INSTALADO EM RAMAL DE DESCARGA OU RAMAL DE ESGOTO SANITÁRIO. </t>
  </si>
  <si>
    <t xml:space="preserve">JOELHO 90 GRAUS, PVC, SERIE NORMAL, ESGOTO PREDIAL, DN 75 MM, JUNTA ELÁSTICA, FORNECIDO E INSTALADO EM RAMAL DE DESCARGA OU RAMAL DE ESGOTO SANITÁRIO. </t>
  </si>
  <si>
    <t xml:space="preserve">TE, PVC, SERIE NORMAL, ESGOTO PREDIAL, DN 50 X 50 MM, JUNTA ELÁSTICA, FORNECIDO E INSTALADO EM RAMAL DE DESCARGA OU RAMAL DE ESGOTO SANITÁRIO. </t>
  </si>
  <si>
    <t xml:space="preserve">TE, PVC, SERIE NORMAL, ESGOTO PREDIAL, DN 75 X 75 MM, JUNTA ELÁSTICA, FORNECIDO E INSTALADO EM RAMAL DE DESCARGA OU RAMAL DE ESGOTO SANITÁRIO. </t>
  </si>
  <si>
    <t>REDUÇÃO EXCÊNTRICA PVC, PARA ESGOTO PREDIAL, DN 75 X 50 MM, JUNTA ELÁSTICA, FORNECIDA E INSTALADA EM RAMAL DE DESGARGA OU EM RAMAL DE ESGOTO SANITÁRIO.</t>
  </si>
  <si>
    <t xml:space="preserve">TUBO PVC, SÉRIE R, ÁGUA PLUVIAL, DN 40 MM, FORNECIDO E INSTALADO EM RAMAL DE ENCAMINHAMENTO. </t>
  </si>
  <si>
    <t>JOELHO 90 GRAUS, PVC, SERIE R, ÁGUA PLUVIAL, DN 40 MM, JUNTA SOLDÁVEL, FORNECIDO E INSTALADO EM RAMAL DE ENCAMINHAMENTO.</t>
  </si>
  <si>
    <t xml:space="preserve">TUBO PVC, SÉRIE R, ÁGUA PLUVIAL, DN 100 MM, FORNECIDO E INSTALADO EM RAMAL DE ENCAMINHAMENTO. </t>
  </si>
  <si>
    <t xml:space="preserve">JOELHO 90 GRAUS, PVC, SERIE R, ÁGUA PLUVIAL, DN 100 MM, JUNTA ELÁSTICA, FORNECIDO E INSTALADO EM RAMAL DE ENCAMINHAMENTO. </t>
  </si>
  <si>
    <t xml:space="preserve">JOELHO 45 GRAUS, PVC, SERIE R, ÁGUA PLUVIAL, DN 100 MM, JUNTA ELÁSTICA, FORNECIDO E INSTALADO EM RAMAL DE ENCAMINHAMENTO. </t>
  </si>
  <si>
    <t xml:space="preserve">JUNÇÃO SIMPLES, PVC, SERIE R, ÁGUA PLUVIAL, DN 100 X 100 MM, JUNTA ELÁSTICA, FORNECIDO E INSTALADO EM RAMAL DE ENCAMINHAMENTO. </t>
  </si>
  <si>
    <t xml:space="preserve">TUBO PVC, SÉRIE R, ÁGUA PLUVIAL, DN 100 MM, FORNECIDO E INSTALADO EM CONDUTORES VERTICAIS DE ÁGUAS PLUVIAIS. </t>
  </si>
  <si>
    <t xml:space="preserve">DEMOLIÇÃO PARCIAL DE PAVIMENTO ASFÁLTICO, DE FORMA MECANIZADA, SEM REAPROVEITAMENTO. </t>
  </si>
  <si>
    <t xml:space="preserve">ESCAVAÇÃO MANUAL DE VALA COM PROFUNDIDADE MENOR OU IGUAL A 1,30 M. </t>
  </si>
  <si>
    <t xml:space="preserve">RECOMPOSIÇÃO DE PAVIMENTO EM PISO INTERTRAVADO SEXTAVADO, COM REAPROVEITAMENTO DOS BLOCOS SEXTAVADO, PARA O FECHAMENTO DE VALAS. </t>
  </si>
  <si>
    <t xml:space="preserve">KIT CAVALETE PARA MEDIÇÃO DE ÁGUA - ENTRADA INDIVIDUALIZADA, EM PVC DN 25 (¾), PARA 1 MEDIDOR  FORNECIMENTO E INSTALAÇÃO (EXCLUSIVE HIDRÔMETRO). </t>
  </si>
  <si>
    <t xml:space="preserve">ELETRODUTO RÍGIDO ROSCÁVEL, PVC, DN 32 MM (1"), PARA CIRCUITOS TERMINAIS, INSTALADO EM FORRO - FORNECIMENTO E INSTALAÇÃO. </t>
  </si>
  <si>
    <t xml:space="preserve">ELETRODUTO RÍGIDO ROSCÁVEL, PVC, DN 25 MM (3/4"), PARA CIRCUITOS TERMINAIS, INSTALADO EM FORRO - FORNECIMENTO E INSTALAÇÃO. </t>
  </si>
  <si>
    <t xml:space="preserve">ELETRODUTO RÍGIDO ROSCÁVEL, PVC, DN 25 MM (3/4"), PARA CIRCUITOS TERMINAIS, INSTALADO EM PAREDE - FORNECIMENTO E INSTALAÇÃO. </t>
  </si>
  <si>
    <t xml:space="preserve">CURVA 90 GRAUS PARA ELETRODUTO, PVC, ROSCÁVEL, DN 25 MM (3/4"), PARA CIRCUITOS TERMINAIS, INSTALADA EM FORRO - FORNECIMENTO E INSTALAÇÃO. </t>
  </si>
  <si>
    <t xml:space="preserve">CONDULETE DE PVC, TIPO B, PARA ELETRODUTO DE PVC SOLDÁVEL DN 25 MM (3/4''), APARENTE - FORNECIMENTO E INSTALAÇÃO. </t>
  </si>
  <si>
    <t xml:space="preserve">CABO DE COBRE FLEXÍVEL ISOLADO, 2,5 MM², ANTI-CHAMA 450/750 V, PARA CIRCUITOS TERMINAIS - FORNECIMENTO E INSTALAÇÃO. </t>
  </si>
  <si>
    <t xml:space="preserve">CABO DE COBRE FLEXÍVEL ISOLADO, 4 MM², ANTI-CHAMA 450/750 V, PARA CIRCUITOS TERMINAIS - FORNECIMENTO E INSTALAÇÃO. </t>
  </si>
  <si>
    <t xml:space="preserve">CABO DE COBRE FLEXÍVEL ISOLADO, 6 MM², ANTI-CHAMA 450/750 V, PARA CIRCUITOS TERMINAIS - FORNECIMENTO E INSTALAÇÃO. </t>
  </si>
  <si>
    <t xml:space="preserve">CABO DE COBRE FLEXÍVEL ISOLADO, 10 MM², ANTI-CHAMA 450/750 V, PARA CIRCUITOS TERMINAIS - FORNECIMENTO E INSTALAÇÃO. </t>
  </si>
  <si>
    <t xml:space="preserve">CABO DE COBRE FLEXÍVEL ISOLADO, 16 MM², ANTI-CHAMA 450/750 V, PARA DISTRIBUIÇÃO - FORNECIMENTO E INSTALAÇÃO. </t>
  </si>
  <si>
    <t xml:space="preserve">INTERRUPTOR SIMPLES (1 MÓDULO), 10A/250V, INCLUINDO SUPORTE E PLACA - FORNECIMENTO E INSTALAÇÃO. </t>
  </si>
  <si>
    <t xml:space="preserve">INTERRUPTOR SIMPLES (2 MÓDULOS), 10A/250V, INCLUINDO SUPORTE E PLACA - FORNECIMENTO E INSTALAÇÃO. </t>
  </si>
  <si>
    <t xml:space="preserve">INTERRUPTOR SIMPLES (3 MÓDULOS), 10A/250V, INCLUINDO SUPORTE E PLACA - FORNECIMENTO E INSTALAÇÃO. </t>
  </si>
  <si>
    <t xml:space="preserve">TOMADA BAIXA DE EMBUTIR (1 MÓDULO), 2P+T 10 A, INCLUINDO SUPORTE E PLACA - FORNECIMENTO E INSTALAÇÃO. </t>
  </si>
  <si>
    <t xml:space="preserve">TOMADA ALTA DE EMBUTIR (1 MÓDULO), 2P+T 10 A, INCLUINDO SUPORTE E PLACA - FORNECIMENTO E INSTALAÇÃO. </t>
  </si>
  <si>
    <t xml:space="preserve">TOMADA MÉDIA DE EMBUTIR (1 MÓDULO), 2P+T 20 A, INCLUINDO SUPORTE E PLACA - FORNECIMENTO E INSTALAÇÃO. </t>
  </si>
  <si>
    <t xml:space="preserve">LUMINÁRIA ARANDELA TIPO TARTARUGA, COM GRADE, DE SOBREPOR, COM 1 LÂMPADA FLUORESCENTE DE 15 W, SEM REATOR - FORNECIMENTO E INSTALAÇÃO. </t>
  </si>
  <si>
    <t xml:space="preserve">LUMINÁRIA TIPO CALHA, DE SOBREPOR, COM 2 LÂMPADAS TUBULARES LED DE 9 W, SEM REATOR - FORNECIMENTO E INSTALAÇÃO. </t>
  </si>
  <si>
    <t xml:space="preserve">QUADRO DE DISTRIBUIÇÃO DE ENERGIA EM CHAPA DE AÇO GALVANIZADO, DE EMBUTIR, COM BARRAMENTO TRIFÁSICO, PARA 12 DISJUNTORES DIN 100A - FORNECIMENTO E INSTALAÇÃO. </t>
  </si>
  <si>
    <t xml:space="preserve">DISJUNTOR MONOPOLAR TIPO NEMA, CORRENTE NOMINAL DE 10 ATÉ 30A - FORNECIMENTO E INSTALAÇÃO. </t>
  </si>
  <si>
    <t xml:space="preserve">DISJUNTOR BIPOLAR TIPO NEMA, CORRENTE NOMINAL DE 10 ATÉ 50A - FORNECIMENTO E INSTALAÇÃO. </t>
  </si>
  <si>
    <t xml:space="preserve">DISJUNTOR TRIPOLAR TIPO NEMA, CORRENTE NOMINAL DE 10 ATÉ 50A - FORNECIMENTO E INSTALAÇÃO. </t>
  </si>
  <si>
    <t xml:space="preserve">ENTRADA DE ENERGIA ELÉTRICA, AÉREA, TRIFÁSICA, COM CAIXA DE SOBREPOR, CABO DE 16 MM2 E DISJUNTOR DIN 50A (NÃO INCLUSO O POSTE DE CONCRETO). </t>
  </si>
  <si>
    <t xml:space="preserve">CURVA 90 GRAUS PARA ELETRODUTO, PVC, ROSCÁVEL, DN 32 MM (1"), PARA CIRCUITOS TERMINAIS, INSTALADA EM PAREDE - FORNECIMENTO E INSTALAÇÃO. </t>
  </si>
  <si>
    <t xml:space="preserve">CURVA 90 GRAUS PARA ELETRODUTO, PVC, ROSCÁVEL, DN 40 MM (1 1/4"), PARA CIRCUITOS TERMINAIS, INSTALADA EM PAREDE - FORNECIMENTO E INSTALAÇÃO. </t>
  </si>
  <si>
    <t xml:space="preserve">CAIXA ENTERRADA ELÉTRICA RETANGULAR, EM ALVENARIA COM TIJOLOS CERÂMICOS MACIÇOS, FUNDO COM BRITA, DIMENSÕES INTERNAS: 0,4X0,4X0,4 M. </t>
  </si>
  <si>
    <t xml:space="preserve">HASTE DE ATERRAMENTO 3/4  PARA SPDA - FORNECIMENTO E INSTALAÇÃO. </t>
  </si>
  <si>
    <t xml:space="preserve">DISJUNTOR TRIPOLAR TIPO NEMA, CORRENTE NOMINAL DE 60 ATÉ 100A - FORNECIMENTO E INSTALAÇÃO. </t>
  </si>
  <si>
    <t xml:space="preserve">QUADRO DE MEDIÇÃO GERAL DE ENERGIA PARA 1 MEDIDOR DE SOBREPOR - FORNECIMENTO E INSTALAÇÃO. </t>
  </si>
  <si>
    <t xml:space="preserve">ELETRODUTO FLEXÍVEL LISO, PEAD, DN 40 MM (1 1/4"), PARA CIRCUITOS TERMINAIS, INSTALADO EM PAREDE - FORNECIMENTO E INSTALAÇÃO. </t>
  </si>
  <si>
    <t>PLACA DE SINALIZAÇÃO( DE EMERGÊNCIA) ROTA DE FUGA, DIMENSÕES DE 25 X20 CM - FORNECIMENTO E INSTALAÇÃO.</t>
  </si>
  <si>
    <t xml:space="preserve">EXTINTOR DE INCÊNDIO PORTÁTIL COM CARGA DE ÁGUA PRESSURIZADA DE 10 L, CLASSE A - FORNECIMENTO E INSTALAÇÃO. </t>
  </si>
  <si>
    <t xml:space="preserve">EXTINTOR DE INCÊNDIO PORTÁTIL COM CARGA DE PQS DE 4 KG, CLASSE BC - FORNECIMENTO E INSTALAÇÃO. </t>
  </si>
  <si>
    <t xml:space="preserve">LUMINÁRIA DE EMERGÊNCIA, COM 30 LÂMPADAS LED DE 2 W, SEM REATOR - FORNECIMENTO E INSTALAÇÃO. </t>
  </si>
  <si>
    <t xml:space="preserve">PISO PODOTÁTIL, DIRECIONAL OU ALERTA, ASSENTADO SOBRE ARGAMASSA. </t>
  </si>
  <si>
    <t xml:space="preserve">ALVENARIA DE VEDAÇÃO DE BLOCOS CERÂMICOS FURADOS NA HORIZONTAL DE 9X19X19CM (ESPESSURA 9CM) DE PAREDES COM ÁREA LÍQUIDA MENOR QUE 6M² SEM VÃOS E ARGAMASSA DE ASSENTAMENTO COM PREPARO EM BETONEIRA. </t>
  </si>
  <si>
    <t xml:space="preserve">LAJE PRÉ-MOLDADA UNIDIRECIONAL, BIAPOIADA, PARA FORRO, ENCHIMENTO EM CERÂMICA, VIGOTA CONVENCIONAL, ALTURA TOTAL DA LAJE (ENCHIMENTO+CAPA) = (8+3). </t>
  </si>
  <si>
    <t xml:space="preserve">DOBRADIÇA EM AÇO/FERRO, 3" X 21/2", E=1,9 A 2MM, SEN ANEL, CROMADO OU ZINCADO, TAMPA BOLA, COM PARAFUSOS. </t>
  </si>
  <si>
    <t xml:space="preserve">FECHADURA DE EMBUTIR PARA PORTAS INTERNAS, COMPLETA, ACABAMENTO PADRÃO POPULAR, COM EXECUÇÃO DE FURO - FORNECIMENTO E INSTALAÇÃO. </t>
  </si>
  <si>
    <t xml:space="preserve">ALAMBRADO EM MOURÕES DE CONCRETO, COM TELA DE ARAME GALVANIZADO (INCLUSIVE MURETA EM CONCRETO). </t>
  </si>
  <si>
    <t>PORTA DE FERRO, DE ABRIR, TIPO GRADE COM CHAPA, COM GUARNIÇÕES.</t>
  </si>
  <si>
    <t xml:space="preserve">PINTURA TINTA DE ACABAMENTO (PIGMENTADA) ESMALTE SINTÉTICO FOSCO EM MADEIRA, 3 DEMÃOS. </t>
  </si>
  <si>
    <t xml:space="preserve">LIMPEZA DE PISO CERÂMICO OU PORCELANATO COM VASSOURA A SECO. </t>
  </si>
  <si>
    <t>LIMPEZA DE REVESTIMENTO CERÂMICO EM PAREDE COM PANO ÚMIDO.</t>
  </si>
  <si>
    <t xml:space="preserve">LIMPEZA DE CONTRAPISO COM VASSOURA A SECO. </t>
  </si>
  <si>
    <t xml:space="preserve">LIMPEZA DE SUPERFÍCIE COM JATO DE ALTA PRESSÃO. </t>
  </si>
  <si>
    <t>KIT CAVALETE PARA MEDIÇÃO DE ÁGUA - ENTRADA PRINCIPAL, EM PVC SOLDÁVEL DN 20 (½")   FORNECIMENTO E INSTALAÇÃO (EXCLUSIVE HIDRÔMETRO). AF_11/2016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</si>
</sst>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_(* #,##0.00_);_(* \(#,##0.00\);_(* &quot;-&quot;??_);_(@_)"/>
    <numFmt numFmtId="172" formatCode="0.000"/>
    <numFmt numFmtId="173" formatCode="0.0000"/>
    <numFmt numFmtId="174" formatCode="_(* #,##0.000_);_(* \(#,##0.000\);_(* &quot;-&quot;??_);_(@_)"/>
    <numFmt numFmtId="175" formatCode="_(* #,##0.0000_);_(* \(#,##0.0000\);_(* &quot;-&quot;??_);_(@_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R$&quot;#,##0.00"/>
    <numFmt numFmtId="180" formatCode="0.0000000"/>
    <numFmt numFmtId="181" formatCode="0.000%"/>
    <numFmt numFmtId="182" formatCode="&quot;R$&quot;#,##0.0000000"/>
    <numFmt numFmtId="183" formatCode="#,##0.00_ ;[Red]\-#,##0.00\ "/>
    <numFmt numFmtId="184" formatCode="000.00"/>
    <numFmt numFmtId="185" formatCode="0,000.00"/>
    <numFmt numFmtId="186" formatCode="00.00"/>
    <numFmt numFmtId="187" formatCode="000,000.00"/>
    <numFmt numFmtId="188" formatCode="#,##0.00_ ;\-#,##0.00\ "/>
    <numFmt numFmtId="189" formatCode="#,##0.000000"/>
    <numFmt numFmtId="190" formatCode="_-* #,##0.0000_-;\-* #,##0.0000_-;_-* &quot;-&quot;??_-;_-@_-"/>
    <numFmt numFmtId="191" formatCode="_-* #,##0.0000_-;\-* #,##0.0000_-;_-* &quot;-&quot;????_-;_-@_-"/>
    <numFmt numFmtId="192" formatCode="_-* #,##0.00_-;\-* #,##0.00_-;_-* &quot;-&quot;????_-;_-@_-"/>
    <numFmt numFmtId="193" formatCode="0.000000"/>
    <numFmt numFmtId="194" formatCode="0.00000"/>
    <numFmt numFmtId="195" formatCode="0.00000000"/>
    <numFmt numFmtId="196" formatCode="0.000000000"/>
    <numFmt numFmtId="197" formatCode="&quot;R$&quot;\ #,##0.00"/>
    <numFmt numFmtId="198" formatCode="_(&quot;R$&quot;* #,##0.00_);_(&quot;R$&quot;* \(#,##0.00\);_(&quot;R$&quot;* &quot;-&quot;??_);_(@_)"/>
    <numFmt numFmtId="199" formatCode="_(&quot;R$ &quot;* #,##0.00_);_(&quot;R$ &quot;* \(#,##0.00\);_(&quot;R$ &quot;* &quot;-&quot;??_);_(@_)"/>
    <numFmt numFmtId="200" formatCode="[$-416]dddd\,\ d&quot; de &quot;mmmm&quot; de &quot;yyyy"/>
    <numFmt numFmtId="201" formatCode="#,##0.0000000"/>
    <numFmt numFmtId="202" formatCode="_(* #,##0.00_);_(* \(#,##0.00\);_(* \-??_);_(@_)"/>
    <numFmt numFmtId="203" formatCode="#,##0.000"/>
    <numFmt numFmtId="204" formatCode="#,##0.0000"/>
    <numFmt numFmtId="205" formatCode="#,##0.00000"/>
    <numFmt numFmtId="206" formatCode="#,##0.0000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12"/>
      <name val="Arial"/>
      <family val="2"/>
    </font>
    <font>
      <sz val="10"/>
      <color indexed="8"/>
      <name val="Courier New"/>
      <family val="3"/>
    </font>
    <font>
      <sz val="8"/>
      <color indexed="10"/>
      <name val="Arial"/>
      <family val="2"/>
    </font>
    <font>
      <b/>
      <sz val="11"/>
      <color indexed="12"/>
      <name val="Calibri"/>
      <family val="2"/>
    </font>
    <font>
      <sz val="8"/>
      <color indexed="8"/>
      <name val="Calibri"/>
      <family val="2"/>
    </font>
    <font>
      <b/>
      <sz val="14"/>
      <color indexed="1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b/>
      <sz val="10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Calibri"/>
      <family val="2"/>
    </font>
    <font>
      <sz val="10"/>
      <color indexed="10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0"/>
      <color theme="1"/>
      <name val="Courier New"/>
      <family val="3"/>
    </font>
    <font>
      <b/>
      <sz val="11"/>
      <color rgb="FF0000F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Courier New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76" fillId="21" borderId="5" applyNumberFormat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43" fontId="1" fillId="0" borderId="0" applyFont="0" applyFill="0" applyBorder="0" applyAlignment="0" applyProtection="0"/>
    <xf numFmtId="202" fontId="3" fillId="0" borderId="0" applyBorder="0" applyProtection="0">
      <alignment/>
    </xf>
  </cellStyleXfs>
  <cellXfs count="38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6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71" fontId="24" fillId="34" borderId="10" xfId="146" applyNumberFormat="1" applyFont="1" applyFill="1" applyBorder="1" applyAlignment="1">
      <alignment horizontal="center" vertical="center" wrapText="1"/>
    </xf>
    <xf numFmtId="0" fontId="24" fillId="34" borderId="10" xfId="129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/>
    </xf>
    <xf numFmtId="171" fontId="11" fillId="0" borderId="10" xfId="146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171" fontId="25" fillId="34" borderId="10" xfId="146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27" fillId="35" borderId="10" xfId="129" applyFont="1" applyFill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6" fillId="0" borderId="10" xfId="74" applyFont="1" applyBorder="1" applyAlignment="1">
      <alignment horizontal="justify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34" fillId="0" borderId="0" xfId="0" applyFont="1" applyAlignment="1">
      <alignment/>
    </xf>
    <xf numFmtId="0" fontId="4" fillId="0" borderId="0" xfId="0" applyFont="1" applyAlignment="1">
      <alignment/>
    </xf>
    <xf numFmtId="43" fontId="37" fillId="36" borderId="10" xfId="146" applyFont="1" applyFill="1" applyBorder="1" applyAlignment="1">
      <alignment/>
    </xf>
    <xf numFmtId="43" fontId="38" fillId="36" borderId="10" xfId="146" applyFont="1" applyFill="1" applyBorder="1" applyAlignment="1">
      <alignment/>
    </xf>
    <xf numFmtId="0" fontId="38" fillId="36" borderId="10" xfId="0" applyFont="1" applyFill="1" applyBorder="1" applyAlignment="1">
      <alignment horizontal="center"/>
    </xf>
    <xf numFmtId="0" fontId="16" fillId="0" borderId="18" xfId="74" applyFont="1" applyBorder="1" applyAlignment="1">
      <alignment horizontal="justify" vertical="center"/>
      <protection/>
    </xf>
    <xf numFmtId="0" fontId="33" fillId="0" borderId="0" xfId="0" applyFont="1" applyAlignment="1">
      <alignment vertical="center"/>
    </xf>
    <xf numFmtId="171" fontId="11" fillId="0" borderId="10" xfId="146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43" fontId="11" fillId="36" borderId="10" xfId="146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43" fontId="28" fillId="36" borderId="10" xfId="146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43" fontId="38" fillId="36" borderId="10" xfId="146" applyFont="1" applyFill="1" applyBorder="1" applyAlignment="1">
      <alignment horizontal="left"/>
    </xf>
    <xf numFmtId="0" fontId="0" fillId="37" borderId="10" xfId="0" applyFill="1" applyBorder="1" applyAlignment="1">
      <alignment/>
    </xf>
    <xf numFmtId="171" fontId="24" fillId="35" borderId="10" xfId="146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20" fillId="37" borderId="10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40" fillId="0" borderId="10" xfId="74" applyFont="1" applyBorder="1" applyAlignment="1">
      <alignment horizontal="justify" vertical="center"/>
      <protection/>
    </xf>
    <xf numFmtId="0" fontId="36" fillId="0" borderId="0" xfId="0" applyFont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2" fontId="26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6" fillId="0" borderId="22" xfId="0" applyFont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1" fillId="37" borderId="27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9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0" fontId="17" fillId="0" borderId="19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34" fillId="0" borderId="0" xfId="0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11" fillId="37" borderId="19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0" fontId="0" fillId="0" borderId="18" xfId="0" applyBorder="1" applyAlignment="1">
      <alignment/>
    </xf>
    <xf numFmtId="2" fontId="34" fillId="37" borderId="19" xfId="0" applyNumberFormat="1" applyFont="1" applyFill="1" applyBorder="1" applyAlignment="1">
      <alignment horizontal="center"/>
    </xf>
    <xf numFmtId="0" fontId="0" fillId="37" borderId="20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27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25" fillId="37" borderId="19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23" fillId="37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11" fillId="37" borderId="1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8" fillId="37" borderId="19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2" fontId="42" fillId="0" borderId="10" xfId="0" applyNumberFormat="1" applyFont="1" applyBorder="1" applyAlignment="1">
      <alignment horizontal="center"/>
    </xf>
    <xf numFmtId="2" fontId="34" fillId="0" borderId="18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17" fillId="0" borderId="18" xfId="0" applyFont="1" applyBorder="1" applyAlignment="1">
      <alignment/>
    </xf>
    <xf numFmtId="0" fontId="18" fillId="37" borderId="19" xfId="0" applyFont="1" applyFill="1" applyBorder="1" applyAlignment="1">
      <alignment horizontal="center"/>
    </xf>
    <xf numFmtId="0" fontId="23" fillId="37" borderId="19" xfId="0" applyFont="1" applyFill="1" applyBorder="1" applyAlignment="1">
      <alignment/>
    </xf>
    <xf numFmtId="2" fontId="11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23" fillId="37" borderId="10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/>
    </xf>
    <xf numFmtId="2" fontId="2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2" fontId="11" fillId="0" borderId="18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2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6" fillId="0" borderId="18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/>
    </xf>
    <xf numFmtId="2" fontId="36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34" fillId="0" borderId="17" xfId="0" applyFont="1" applyBorder="1" applyAlignment="1">
      <alignment/>
    </xf>
    <xf numFmtId="2" fontId="11" fillId="0" borderId="10" xfId="0" applyNumberFormat="1" applyFont="1" applyBorder="1" applyAlignment="1" quotePrefix="1">
      <alignment horizontal="center"/>
    </xf>
    <xf numFmtId="0" fontId="43" fillId="0" borderId="0" xfId="0" applyFont="1" applyAlignment="1">
      <alignment wrapText="1"/>
    </xf>
    <xf numFmtId="2" fontId="10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10" xfId="0" applyFont="1" applyBorder="1" applyAlignment="1">
      <alignment/>
    </xf>
    <xf numFmtId="0" fontId="34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43" fillId="0" borderId="0" xfId="0" applyFont="1" applyAlignment="1">
      <alignment vertical="center" wrapText="1"/>
    </xf>
    <xf numFmtId="2" fontId="4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3" fillId="37" borderId="17" xfId="0" applyFont="1" applyFill="1" applyBorder="1" applyAlignment="1">
      <alignment wrapText="1"/>
    </xf>
    <xf numFmtId="0" fontId="35" fillId="0" borderId="27" xfId="0" applyFont="1" applyBorder="1" applyAlignment="1">
      <alignment/>
    </xf>
    <xf numFmtId="0" fontId="26" fillId="0" borderId="19" xfId="0" applyFont="1" applyBorder="1" applyAlignment="1">
      <alignment horizontal="center"/>
    </xf>
    <xf numFmtId="170" fontId="2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6" fillId="0" borderId="18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1" fillId="0" borderId="27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 wrapText="1"/>
    </xf>
    <xf numFmtId="0" fontId="10" fillId="33" borderId="10" xfId="0" applyFont="1" applyFill="1" applyBorder="1" applyAlignment="1">
      <alignment wrapText="1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2" fontId="3" fillId="0" borderId="10" xfId="0" applyNumberFormat="1" applyFont="1" applyBorder="1" applyAlignment="1">
      <alignment horizontal="center"/>
    </xf>
    <xf numFmtId="0" fontId="45" fillId="0" borderId="18" xfId="0" applyFont="1" applyBorder="1" applyAlignment="1">
      <alignment/>
    </xf>
    <xf numFmtId="0" fontId="25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171" fontId="5" fillId="34" borderId="10" xfId="146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5" fillId="0" borderId="10" xfId="74" applyFont="1" applyBorder="1" applyAlignment="1">
      <alignment horizontal="justify" vertical="center"/>
      <protection/>
    </xf>
    <xf numFmtId="0" fontId="24" fillId="0" borderId="10" xfId="74" applyFont="1" applyBorder="1" applyAlignment="1">
      <alignment horizontal="justify" vertical="center"/>
      <protection/>
    </xf>
    <xf numFmtId="0" fontId="24" fillId="0" borderId="0" xfId="0" applyFont="1" applyAlignment="1">
      <alignment horizontal="justify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171" fontId="24" fillId="34" borderId="17" xfId="146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2" fontId="16" fillId="0" borderId="10" xfId="74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43" fontId="38" fillId="36" borderId="10" xfId="146" applyFont="1" applyFill="1" applyBorder="1" applyAlignment="1">
      <alignment vertical="center"/>
    </xf>
    <xf numFmtId="0" fontId="38" fillId="36" borderId="10" xfId="0" applyFont="1" applyFill="1" applyBorder="1" applyAlignment="1">
      <alignment horizontal="center" vertical="center"/>
    </xf>
    <xf numFmtId="0" fontId="5" fillId="36" borderId="10" xfId="74" applyFont="1" applyFill="1" applyBorder="1" applyAlignment="1">
      <alignment horizontal="justify" vertical="center"/>
      <protection/>
    </xf>
    <xf numFmtId="171" fontId="18" fillId="39" borderId="10" xfId="146" applyNumberFormat="1" applyFont="1" applyFill="1" applyBorder="1" applyAlignment="1">
      <alignment horizontal="center" vertical="center" wrapText="1"/>
    </xf>
    <xf numFmtId="43" fontId="27" fillId="36" borderId="10" xfId="146" applyFont="1" applyFill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6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2" fontId="16" fillId="0" borderId="10" xfId="74" applyNumberFormat="1" applyFont="1" applyBorder="1" applyAlignment="1">
      <alignment horizontal="justify" vertical="center"/>
      <protection/>
    </xf>
    <xf numFmtId="2" fontId="6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3" fontId="38" fillId="36" borderId="10" xfId="146" applyFont="1" applyFill="1" applyBorder="1" applyAlignment="1">
      <alignment horizontal="center" wrapText="1"/>
    </xf>
    <xf numFmtId="0" fontId="0" fillId="0" borderId="0" xfId="0" applyAlignment="1">
      <alignment/>
    </xf>
    <xf numFmtId="43" fontId="38" fillId="36" borderId="10" xfId="146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2" fontId="83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7" fillId="34" borderId="10" xfId="130" applyFont="1" applyFill="1" applyBorder="1" applyAlignment="1">
      <alignment horizontal="left" vertical="center" wrapText="1"/>
      <protection/>
    </xf>
    <xf numFmtId="0" fontId="9" fillId="36" borderId="10" xfId="0" applyFont="1" applyFill="1" applyBorder="1" applyAlignment="1">
      <alignment horizontal="center"/>
    </xf>
    <xf numFmtId="0" fontId="24" fillId="34" borderId="10" xfId="129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 wrapText="1"/>
    </xf>
    <xf numFmtId="0" fontId="20" fillId="36" borderId="10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6" fillId="9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16" fillId="40" borderId="10" xfId="74" applyFont="1" applyFill="1" applyBorder="1" applyAlignment="1">
      <alignment horizontal="justify" vertical="center"/>
      <protection/>
    </xf>
    <xf numFmtId="43" fontId="38" fillId="40" borderId="10" xfId="146" applyFont="1" applyFill="1" applyBorder="1" applyAlignment="1">
      <alignment vertical="center"/>
    </xf>
    <xf numFmtId="0" fontId="38" fillId="40" borderId="10" xfId="0" applyFont="1" applyFill="1" applyBorder="1" applyAlignment="1">
      <alignment horizontal="center" vertical="center"/>
    </xf>
    <xf numFmtId="0" fontId="25" fillId="40" borderId="10" xfId="0" applyFont="1" applyFill="1" applyBorder="1" applyAlignment="1">
      <alignment horizontal="center" vertical="center"/>
    </xf>
    <xf numFmtId="0" fontId="18" fillId="9" borderId="10" xfId="74" applyFont="1" applyFill="1" applyBorder="1" applyAlignment="1">
      <alignment horizontal="justify" vertical="center"/>
      <protection/>
    </xf>
    <xf numFmtId="0" fontId="85" fillId="0" borderId="10" xfId="74" applyFont="1" applyBorder="1" applyAlignment="1">
      <alignment horizontal="justify" vertical="center"/>
      <protection/>
    </xf>
    <xf numFmtId="171" fontId="6" fillId="34" borderId="10" xfId="146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6" fillId="36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48" fillId="0" borderId="0" xfId="54" applyFont="1" applyAlignment="1">
      <alignment horizontal="left" wrapText="1"/>
      <protection/>
    </xf>
    <xf numFmtId="2" fontId="2" fillId="0" borderId="10" xfId="0" applyNumberFormat="1" applyFont="1" applyFill="1" applyBorder="1" applyAlignment="1" quotePrefix="1">
      <alignment vertical="center"/>
    </xf>
    <xf numFmtId="2" fontId="83" fillId="0" borderId="10" xfId="0" applyNumberFormat="1" applyFont="1" applyBorder="1" applyAlignment="1">
      <alignment vertical="center"/>
    </xf>
    <xf numFmtId="0" fontId="87" fillId="0" borderId="10" xfId="0" applyFont="1" applyBorder="1" applyAlignment="1">
      <alignment horizontal="center" vertical="center"/>
    </xf>
    <xf numFmtId="0" fontId="88" fillId="41" borderId="28" xfId="52" applyNumberFormat="1" applyFont="1" applyFill="1" applyBorder="1" applyAlignment="1" applyProtection="1">
      <alignment horizontal="left" vertical="center" wrapText="1"/>
      <protection/>
    </xf>
    <xf numFmtId="0" fontId="88" fillId="0" borderId="10" xfId="0" applyFont="1" applyBorder="1" applyAlignment="1">
      <alignment horizontal="justify" vertical="center"/>
    </xf>
    <xf numFmtId="171" fontId="88" fillId="34" borderId="10" xfId="146" applyNumberFormat="1" applyFont="1" applyFill="1" applyBorder="1" applyAlignment="1">
      <alignment horizontal="center" vertical="center" wrapText="1"/>
    </xf>
    <xf numFmtId="171" fontId="89" fillId="34" borderId="10" xfId="146" applyNumberFormat="1" applyFont="1" applyFill="1" applyBorder="1" applyAlignment="1">
      <alignment horizontal="center" vertical="center" wrapText="1"/>
    </xf>
    <xf numFmtId="174" fontId="88" fillId="34" borderId="10" xfId="146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5" fillId="34" borderId="10" xfId="129" applyFont="1" applyFill="1" applyBorder="1" applyAlignment="1">
      <alignment horizontal="center" vertical="center" wrapText="1"/>
      <protection/>
    </xf>
    <xf numFmtId="0" fontId="4" fillId="9" borderId="10" xfId="0" applyFont="1" applyFill="1" applyBorder="1" applyAlignment="1">
      <alignment horizontal="center" vertical="center"/>
    </xf>
    <xf numFmtId="0" fontId="24" fillId="0" borderId="10" xfId="74" applyFont="1" applyBorder="1" applyAlignment="1">
      <alignment horizontal="justify" vertical="center" wrapText="1"/>
      <protection/>
    </xf>
    <xf numFmtId="0" fontId="24" fillId="0" borderId="10" xfId="74" applyFont="1" applyBorder="1" applyAlignment="1">
      <alignment horizontal="justify" vertical="center"/>
      <protection/>
    </xf>
    <xf numFmtId="0" fontId="24" fillId="40" borderId="10" xfId="74" applyFont="1" applyFill="1" applyBorder="1" applyAlignment="1">
      <alignment horizontal="justify" vertical="center"/>
      <protection/>
    </xf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2" fillId="36" borderId="10" xfId="0" applyFont="1" applyFill="1" applyBorder="1" applyAlignment="1">
      <alignment/>
    </xf>
    <xf numFmtId="0" fontId="90" fillId="0" borderId="18" xfId="0" applyFont="1" applyBorder="1" applyAlignment="1">
      <alignment/>
    </xf>
    <xf numFmtId="0" fontId="90" fillId="0" borderId="29" xfId="0" applyFont="1" applyBorder="1" applyAlignment="1">
      <alignment/>
    </xf>
    <xf numFmtId="0" fontId="90" fillId="0" borderId="29" xfId="0" applyFont="1" applyFill="1" applyBorder="1" applyAlignment="1">
      <alignment/>
    </xf>
    <xf numFmtId="0" fontId="90" fillId="0" borderId="27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24" fillId="0" borderId="10" xfId="0" applyFont="1" applyBorder="1" applyAlignment="1">
      <alignment horizontal="justify" vertical="center"/>
    </xf>
    <xf numFmtId="43" fontId="16" fillId="0" borderId="10" xfId="146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justify" vertical="center"/>
    </xf>
    <xf numFmtId="0" fontId="92" fillId="0" borderId="10" xfId="74" applyFont="1" applyBorder="1" applyAlignment="1">
      <alignment horizontal="justify" vertical="center"/>
      <protection/>
    </xf>
    <xf numFmtId="0" fontId="93" fillId="0" borderId="10" xfId="74" applyFont="1" applyBorder="1" applyAlignment="1">
      <alignment horizontal="justify" vertical="center"/>
      <protection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center"/>
    </xf>
    <xf numFmtId="0" fontId="11" fillId="37" borderId="26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19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9" fillId="37" borderId="19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/>
    </xf>
    <xf numFmtId="2" fontId="34" fillId="0" borderId="18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23" fillId="37" borderId="27" xfId="0" applyFont="1" applyFill="1" applyBorder="1" applyAlignment="1">
      <alignment horizontal="center"/>
    </xf>
    <xf numFmtId="0" fontId="25" fillId="37" borderId="19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5" fillId="37" borderId="19" xfId="0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25" fillId="37" borderId="19" xfId="0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1 2" xfId="52"/>
    <cellStyle name="Normal 12" xfId="53"/>
    <cellStyle name="Normal 12 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74"/>
    <cellStyle name="Normal 3 2" xfId="75"/>
    <cellStyle name="Normal 30" xfId="76"/>
    <cellStyle name="Normal 31" xfId="77"/>
    <cellStyle name="Normal 32" xfId="78"/>
    <cellStyle name="Normal 33" xfId="79"/>
    <cellStyle name="Normal 34" xfId="80"/>
    <cellStyle name="Normal 35" xfId="81"/>
    <cellStyle name="Normal 36" xfId="82"/>
    <cellStyle name="Normal 37" xfId="83"/>
    <cellStyle name="Normal 38" xfId="84"/>
    <cellStyle name="Normal 39" xfId="85"/>
    <cellStyle name="Normal 4" xfId="86"/>
    <cellStyle name="Normal 4 2" xfId="87"/>
    <cellStyle name="Normal 4 3" xfId="88"/>
    <cellStyle name="Normal 40" xfId="89"/>
    <cellStyle name="Normal 41" xfId="90"/>
    <cellStyle name="Normal 42" xfId="91"/>
    <cellStyle name="Normal 43" xfId="92"/>
    <cellStyle name="Normal 44" xfId="93"/>
    <cellStyle name="Normal 45" xfId="94"/>
    <cellStyle name="Normal 46" xfId="95"/>
    <cellStyle name="Normal 47" xfId="96"/>
    <cellStyle name="Normal 48" xfId="97"/>
    <cellStyle name="Normal 49" xfId="98"/>
    <cellStyle name="Normal 5" xfId="99"/>
    <cellStyle name="Normal 5 2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58" xfId="109"/>
    <cellStyle name="Normal 59" xfId="110"/>
    <cellStyle name="Normal 6" xfId="111"/>
    <cellStyle name="Normal 6 2" xfId="112"/>
    <cellStyle name="Normal 60" xfId="113"/>
    <cellStyle name="Normal 61" xfId="114"/>
    <cellStyle name="Normal 62" xfId="115"/>
    <cellStyle name="Normal 63" xfId="116"/>
    <cellStyle name="Normal 64" xfId="117"/>
    <cellStyle name="Normal 65" xfId="118"/>
    <cellStyle name="Normal 66" xfId="119"/>
    <cellStyle name="Normal 67" xfId="120"/>
    <cellStyle name="Normal 68" xfId="121"/>
    <cellStyle name="Normal 69" xfId="122"/>
    <cellStyle name="Normal 7" xfId="123"/>
    <cellStyle name="Normal 7 2" xfId="124"/>
    <cellStyle name="Normal 7 3" xfId="125"/>
    <cellStyle name="Normal 7 4" xfId="126"/>
    <cellStyle name="Normal 8" xfId="127"/>
    <cellStyle name="Normal 9" xfId="128"/>
    <cellStyle name="Normal_Pesquisa no referencial 10 de maio de 2013" xfId="129"/>
    <cellStyle name="Normal_Pesquisa no referencial 10 de maio de 2013 2" xfId="130"/>
    <cellStyle name="Nota" xfId="131"/>
    <cellStyle name="Percent" xfId="132"/>
    <cellStyle name="Saída" xfId="133"/>
    <cellStyle name="Comma [0]" xfId="134"/>
    <cellStyle name="Separador de milhares 2" xfId="135"/>
    <cellStyle name="Separador de milhares 2 2" xfId="136"/>
    <cellStyle name="Separador de milhares 3" xfId="137"/>
    <cellStyle name="Texto de Aviso" xfId="138"/>
    <cellStyle name="Texto Explicativo" xfId="139"/>
    <cellStyle name="Título" xfId="140"/>
    <cellStyle name="Título 1" xfId="141"/>
    <cellStyle name="Título 2" xfId="142"/>
    <cellStyle name="Título 3" xfId="143"/>
    <cellStyle name="Título 4" xfId="144"/>
    <cellStyle name="Total" xfId="145"/>
    <cellStyle name="Comma" xfId="146"/>
    <cellStyle name="Vírgula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3"/>
  <sheetViews>
    <sheetView tabSelected="1" zoomScale="95" zoomScaleNormal="95" zoomScalePageLayoutView="0" workbookViewId="0" topLeftCell="A1">
      <selection activeCell="B2" sqref="B2"/>
    </sheetView>
  </sheetViews>
  <sheetFormatPr defaultColWidth="9.140625" defaultRowHeight="15"/>
  <cols>
    <col min="1" max="1" width="8.140625" style="0" customWidth="1"/>
    <col min="2" max="2" width="73.57421875" style="0" customWidth="1"/>
    <col min="3" max="4" width="7.8515625" style="0" customWidth="1"/>
    <col min="5" max="5" width="8.7109375" style="0" customWidth="1"/>
    <col min="6" max="6" width="10.28125" style="0" customWidth="1"/>
    <col min="7" max="7" width="8.28125" style="0" customWidth="1"/>
    <col min="8" max="8" width="10.7109375" style="0" customWidth="1"/>
    <col min="9" max="9" width="8.57421875" style="0" customWidth="1"/>
    <col min="10" max="10" width="13.28125" style="84" customWidth="1"/>
    <col min="11" max="11" width="10.7109375" style="0" customWidth="1"/>
    <col min="12" max="12" width="6.7109375" style="0" bestFit="1" customWidth="1"/>
    <col min="13" max="13" width="38.421875" style="0" hidden="1" customWidth="1"/>
    <col min="14" max="14" width="24.421875" style="0" customWidth="1"/>
    <col min="15" max="15" width="6.8515625" style="0" customWidth="1"/>
    <col min="16" max="16" width="29.140625" style="0" customWidth="1"/>
    <col min="17" max="17" width="10.00390625" style="0" bestFit="1" customWidth="1"/>
  </cols>
  <sheetData>
    <row r="1" spans="1:12" ht="26.25">
      <c r="A1" s="6"/>
      <c r="B1" s="347" t="s">
        <v>18</v>
      </c>
      <c r="C1" s="347"/>
      <c r="D1" s="347"/>
      <c r="E1" s="347"/>
      <c r="F1" s="347"/>
      <c r="G1" s="347"/>
      <c r="H1" s="347"/>
      <c r="I1" s="347"/>
      <c r="J1" s="347"/>
      <c r="K1" s="347"/>
      <c r="L1" s="348"/>
    </row>
    <row r="2" spans="1:13" ht="18" customHeight="1">
      <c r="A2" s="7"/>
      <c r="B2" s="295" t="s">
        <v>410</v>
      </c>
      <c r="C2" s="8"/>
      <c r="D2" s="8"/>
      <c r="E2" s="8"/>
      <c r="F2" s="8"/>
      <c r="G2" s="8"/>
      <c r="H2" s="8"/>
      <c r="I2" s="8"/>
      <c r="J2" s="8"/>
      <c r="K2" s="8"/>
      <c r="L2" s="9"/>
      <c r="M2" s="10"/>
    </row>
    <row r="3" spans="1:12" ht="18" customHeight="1">
      <c r="A3" s="11"/>
      <c r="B3" s="100" t="s">
        <v>68</v>
      </c>
      <c r="C3" s="4"/>
      <c r="D3" s="4"/>
      <c r="E3" s="4"/>
      <c r="F3" s="4"/>
      <c r="G3" s="4"/>
      <c r="H3" s="12"/>
      <c r="I3" s="12"/>
      <c r="J3" s="12"/>
      <c r="K3" s="13"/>
      <c r="L3" s="14"/>
    </row>
    <row r="4" spans="1:12" ht="18" customHeight="1" thickBot="1">
      <c r="A4" s="15"/>
      <c r="B4" s="101" t="s">
        <v>67</v>
      </c>
      <c r="C4" s="16"/>
      <c r="D4" s="16"/>
      <c r="E4" s="16"/>
      <c r="F4" s="16"/>
      <c r="G4" s="16"/>
      <c r="H4" s="17"/>
      <c r="I4" s="17"/>
      <c r="J4" s="17"/>
      <c r="K4" s="18"/>
      <c r="L4" s="19"/>
    </row>
    <row r="5" spans="2:12" ht="6.75" customHeight="1">
      <c r="B5" s="8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8" customHeight="1">
      <c r="A6" s="288">
        <v>1</v>
      </c>
      <c r="B6" s="289" t="s">
        <v>396</v>
      </c>
      <c r="C6" s="22" t="s">
        <v>19</v>
      </c>
      <c r="D6" s="344" t="s">
        <v>20</v>
      </c>
      <c r="E6" s="345"/>
      <c r="F6" s="345"/>
      <c r="G6" s="346"/>
      <c r="H6" s="23"/>
      <c r="I6" s="23"/>
      <c r="J6" s="23"/>
      <c r="K6" s="22" t="s">
        <v>21</v>
      </c>
      <c r="L6" s="22" t="s">
        <v>22</v>
      </c>
      <c r="M6" s="24"/>
    </row>
    <row r="7" spans="1:13" ht="18" customHeight="1">
      <c r="A7" s="299"/>
      <c r="B7" s="300"/>
      <c r="C7" s="300"/>
      <c r="D7" s="267" t="s">
        <v>23</v>
      </c>
      <c r="E7" s="268" t="s">
        <v>24</v>
      </c>
      <c r="F7" s="268" t="s">
        <v>25</v>
      </c>
      <c r="G7" s="268" t="s">
        <v>293</v>
      </c>
      <c r="H7" s="268" t="s">
        <v>26</v>
      </c>
      <c r="I7" s="268" t="s">
        <v>31</v>
      </c>
      <c r="J7" s="268" t="s">
        <v>294</v>
      </c>
      <c r="K7" s="269"/>
      <c r="L7" s="270"/>
      <c r="M7" s="28"/>
    </row>
    <row r="8" spans="1:14" ht="18" customHeight="1">
      <c r="A8" s="317" t="s">
        <v>2</v>
      </c>
      <c r="B8" s="338" t="s">
        <v>560</v>
      </c>
      <c r="C8" s="67">
        <v>345</v>
      </c>
      <c r="D8" s="37"/>
      <c r="E8" s="42"/>
      <c r="F8" s="42"/>
      <c r="G8" s="37"/>
      <c r="H8" s="67">
        <f>C8</f>
        <v>345</v>
      </c>
      <c r="I8" s="37"/>
      <c r="J8" s="37"/>
      <c r="K8" s="66">
        <f>H8</f>
        <v>345</v>
      </c>
      <c r="L8" s="72" t="s">
        <v>37</v>
      </c>
      <c r="M8" s="286" t="s">
        <v>379</v>
      </c>
      <c r="N8" s="56"/>
    </row>
    <row r="9" spans="1:14" ht="30.75" customHeight="1">
      <c r="A9" s="317" t="s">
        <v>3</v>
      </c>
      <c r="B9" s="338" t="s">
        <v>561</v>
      </c>
      <c r="C9" s="67">
        <v>345</v>
      </c>
      <c r="D9" s="37"/>
      <c r="E9" s="42"/>
      <c r="F9" s="42"/>
      <c r="G9" s="37"/>
      <c r="H9" s="67">
        <f>C9</f>
        <v>345</v>
      </c>
      <c r="I9" s="37"/>
      <c r="J9" s="37"/>
      <c r="K9" s="66">
        <f>H9</f>
        <v>345</v>
      </c>
      <c r="L9" s="72" t="s">
        <v>37</v>
      </c>
      <c r="M9" s="286" t="s">
        <v>379</v>
      </c>
      <c r="N9" s="56"/>
    </row>
    <row r="10" spans="1:14" s="84" customFormat="1" ht="24">
      <c r="A10" s="317" t="s">
        <v>4</v>
      </c>
      <c r="B10" s="338" t="s">
        <v>562</v>
      </c>
      <c r="C10" s="67">
        <v>1</v>
      </c>
      <c r="D10" s="67"/>
      <c r="E10" s="67"/>
      <c r="F10" s="67"/>
      <c r="G10" s="67"/>
      <c r="H10" s="67"/>
      <c r="I10" s="265"/>
      <c r="J10" s="265"/>
      <c r="K10" s="66">
        <f>C10</f>
        <v>1</v>
      </c>
      <c r="L10" s="72" t="s">
        <v>38</v>
      </c>
      <c r="M10" s="286" t="s">
        <v>380</v>
      </c>
      <c r="N10" s="56"/>
    </row>
    <row r="11" spans="1:14" s="84" customFormat="1" ht="24">
      <c r="A11" s="317" t="s">
        <v>5</v>
      </c>
      <c r="B11" s="338" t="s">
        <v>563</v>
      </c>
      <c r="C11" s="67">
        <v>1</v>
      </c>
      <c r="D11" s="67"/>
      <c r="E11" s="67"/>
      <c r="F11" s="67"/>
      <c r="G11" s="67"/>
      <c r="H11" s="67"/>
      <c r="I11" s="265"/>
      <c r="J11" s="265"/>
      <c r="K11" s="66">
        <f>C11</f>
        <v>1</v>
      </c>
      <c r="L11" s="72" t="s">
        <v>38</v>
      </c>
      <c r="M11" s="286" t="s">
        <v>380</v>
      </c>
      <c r="N11" s="56"/>
    </row>
    <row r="12" spans="1:14" s="84" customFormat="1" ht="24">
      <c r="A12" s="317" t="s">
        <v>6</v>
      </c>
      <c r="B12" s="338" t="s">
        <v>564</v>
      </c>
      <c r="C12" s="67">
        <v>1</v>
      </c>
      <c r="D12" s="67"/>
      <c r="E12" s="67"/>
      <c r="F12" s="67"/>
      <c r="G12" s="67"/>
      <c r="H12" s="67"/>
      <c r="I12" s="265"/>
      <c r="J12" s="265"/>
      <c r="K12" s="66">
        <f>C12</f>
        <v>1</v>
      </c>
      <c r="L12" s="72" t="s">
        <v>38</v>
      </c>
      <c r="M12" s="286" t="s">
        <v>380</v>
      </c>
      <c r="N12" s="56"/>
    </row>
    <row r="13" spans="1:14" s="84" customFormat="1" ht="36" customHeight="1">
      <c r="A13" s="317" t="s">
        <v>7</v>
      </c>
      <c r="B13" s="70" t="s">
        <v>565</v>
      </c>
      <c r="C13" s="67"/>
      <c r="D13" s="67"/>
      <c r="E13" s="67">
        <v>3</v>
      </c>
      <c r="F13" s="67"/>
      <c r="G13" s="67">
        <v>5.8</v>
      </c>
      <c r="H13" s="67">
        <f>3.14*(G13/2)+POWER(G13/2,2)</f>
        <v>17.516</v>
      </c>
      <c r="I13" s="67">
        <f>(H13*E13)*1/3.5</f>
        <v>15.013714285714284</v>
      </c>
      <c r="J13" s="67"/>
      <c r="K13" s="66">
        <f>I13</f>
        <v>15.013714285714284</v>
      </c>
      <c r="L13" s="72" t="s">
        <v>40</v>
      </c>
      <c r="M13" s="258" t="s">
        <v>381</v>
      </c>
      <c r="N13" s="56"/>
    </row>
    <row r="14" spans="1:14" s="84" customFormat="1" ht="21.75" customHeight="1">
      <c r="A14" s="317" t="s">
        <v>8</v>
      </c>
      <c r="B14" s="70" t="s">
        <v>566</v>
      </c>
      <c r="C14" s="67">
        <f>K13</f>
        <v>15.013714285714284</v>
      </c>
      <c r="D14" s="67"/>
      <c r="E14" s="67"/>
      <c r="F14" s="67"/>
      <c r="G14" s="67"/>
      <c r="H14" s="67"/>
      <c r="I14" s="265"/>
      <c r="J14" s="67">
        <v>10.8</v>
      </c>
      <c r="K14" s="66">
        <f>C14*J14</f>
        <v>162.14811428571429</v>
      </c>
      <c r="L14" s="72" t="s">
        <v>41</v>
      </c>
      <c r="M14" s="250" t="s">
        <v>295</v>
      </c>
      <c r="N14" s="56"/>
    </row>
    <row r="15" spans="1:14" ht="18" customHeight="1">
      <c r="A15" s="317" t="s">
        <v>44</v>
      </c>
      <c r="B15" s="338" t="s">
        <v>567</v>
      </c>
      <c r="C15" s="29"/>
      <c r="D15" s="37"/>
      <c r="E15" s="67">
        <v>2.2</v>
      </c>
      <c r="F15" s="67">
        <f>12+3.4+5.8+13.6</f>
        <v>34.8</v>
      </c>
      <c r="G15" s="37"/>
      <c r="H15" s="67">
        <f>E15*F15</f>
        <v>76.56</v>
      </c>
      <c r="I15" s="37"/>
      <c r="J15" s="37"/>
      <c r="K15" s="41">
        <f>H15</f>
        <v>76.56</v>
      </c>
      <c r="L15" s="72" t="s">
        <v>37</v>
      </c>
      <c r="M15" s="286" t="s">
        <v>379</v>
      </c>
      <c r="N15" s="56"/>
    </row>
    <row r="16" spans="1:14" s="280" customFormat="1" ht="24">
      <c r="A16" s="317" t="s">
        <v>45</v>
      </c>
      <c r="B16" s="70" t="s">
        <v>757</v>
      </c>
      <c r="C16" s="67">
        <v>1</v>
      </c>
      <c r="D16" s="37"/>
      <c r="E16" s="42"/>
      <c r="F16" s="42"/>
      <c r="G16" s="37"/>
      <c r="H16" s="42"/>
      <c r="I16" s="37"/>
      <c r="J16" s="37"/>
      <c r="K16" s="66">
        <f>C16</f>
        <v>1</v>
      </c>
      <c r="L16" s="72" t="s">
        <v>38</v>
      </c>
      <c r="M16" s="286" t="s">
        <v>382</v>
      </c>
      <c r="N16" s="56"/>
    </row>
    <row r="17" spans="1:14" s="280" customFormat="1" ht="23.25" customHeight="1">
      <c r="A17" s="317" t="s">
        <v>46</v>
      </c>
      <c r="B17" s="70" t="s">
        <v>568</v>
      </c>
      <c r="C17" s="67">
        <v>1</v>
      </c>
      <c r="D17" s="37"/>
      <c r="E17" s="42"/>
      <c r="F17" s="42"/>
      <c r="G17" s="43"/>
      <c r="H17" s="42"/>
      <c r="I17" s="37"/>
      <c r="J17" s="37"/>
      <c r="K17" s="66">
        <f>C17</f>
        <v>1</v>
      </c>
      <c r="L17" s="72" t="s">
        <v>38</v>
      </c>
      <c r="M17" s="286" t="s">
        <v>382</v>
      </c>
      <c r="N17" s="56"/>
    </row>
    <row r="18" spans="1:14" s="280" customFormat="1" ht="18" customHeight="1">
      <c r="A18" s="340" t="s">
        <v>47</v>
      </c>
      <c r="B18" s="341" t="s">
        <v>558</v>
      </c>
      <c r="C18" s="67">
        <v>1</v>
      </c>
      <c r="D18" s="37"/>
      <c r="E18" s="42"/>
      <c r="F18" s="42"/>
      <c r="G18" s="43"/>
      <c r="H18" s="42"/>
      <c r="I18" s="37"/>
      <c r="J18" s="37"/>
      <c r="K18" s="66">
        <f>C18</f>
        <v>1</v>
      </c>
      <c r="L18" s="72" t="s">
        <v>38</v>
      </c>
      <c r="M18" s="286" t="s">
        <v>382</v>
      </c>
      <c r="N18" s="56"/>
    </row>
    <row r="19" spans="1:14" ht="15">
      <c r="A19" s="340" t="s">
        <v>48</v>
      </c>
      <c r="B19" s="341" t="s">
        <v>559</v>
      </c>
      <c r="C19" s="67">
        <v>1</v>
      </c>
      <c r="D19" s="67">
        <v>3</v>
      </c>
      <c r="E19" s="67">
        <v>2</v>
      </c>
      <c r="F19" s="42"/>
      <c r="G19" s="43"/>
      <c r="H19" s="67">
        <f>D19*E19</f>
        <v>6</v>
      </c>
      <c r="I19" s="37"/>
      <c r="J19" s="37"/>
      <c r="K19" s="66">
        <f>H19*C19</f>
        <v>6</v>
      </c>
      <c r="L19" s="72" t="s">
        <v>37</v>
      </c>
      <c r="M19" s="286" t="s">
        <v>382</v>
      </c>
      <c r="N19" s="56"/>
    </row>
    <row r="20" spans="1:14" s="280" customFormat="1" ht="25.5" customHeight="1">
      <c r="A20" s="317" t="s">
        <v>288</v>
      </c>
      <c r="B20" s="70" t="s">
        <v>569</v>
      </c>
      <c r="C20" s="67">
        <v>3</v>
      </c>
      <c r="D20" s="67"/>
      <c r="E20" s="67"/>
      <c r="F20" s="67"/>
      <c r="G20" s="67"/>
      <c r="H20" s="67"/>
      <c r="I20" s="265"/>
      <c r="J20" s="265"/>
      <c r="K20" s="66">
        <f>C20</f>
        <v>3</v>
      </c>
      <c r="L20" s="72" t="s">
        <v>38</v>
      </c>
      <c r="M20" s="243" t="s">
        <v>383</v>
      </c>
      <c r="N20" s="56"/>
    </row>
    <row r="21" spans="1:14" ht="24">
      <c r="A21" s="317" t="s">
        <v>289</v>
      </c>
      <c r="B21" s="338" t="s">
        <v>570</v>
      </c>
      <c r="C21" s="67">
        <v>80</v>
      </c>
      <c r="D21" s="29"/>
      <c r="E21" s="44"/>
      <c r="F21" s="42">
        <f>C21</f>
        <v>80</v>
      </c>
      <c r="G21" s="44"/>
      <c r="H21" s="44"/>
      <c r="I21" s="44"/>
      <c r="J21" s="44"/>
      <c r="K21" s="66">
        <f>F21</f>
        <v>80</v>
      </c>
      <c r="L21" s="72" t="s">
        <v>39</v>
      </c>
      <c r="M21" s="286" t="s">
        <v>379</v>
      </c>
      <c r="N21" s="56"/>
    </row>
    <row r="22" spans="1:14" s="84" customFormat="1" ht="24">
      <c r="A22" s="317" t="s">
        <v>290</v>
      </c>
      <c r="B22" s="338" t="s">
        <v>571</v>
      </c>
      <c r="C22" s="67"/>
      <c r="D22" s="67">
        <v>0.2</v>
      </c>
      <c r="E22" s="67">
        <v>2.4</v>
      </c>
      <c r="F22" s="67">
        <v>4.5</v>
      </c>
      <c r="G22" s="67"/>
      <c r="H22" s="67">
        <f>E22*F22</f>
        <v>10.799999999999999</v>
      </c>
      <c r="I22" s="67">
        <f>H22*D22</f>
        <v>2.1599999999999997</v>
      </c>
      <c r="J22" s="67"/>
      <c r="K22" s="66">
        <f>I22</f>
        <v>2.1599999999999997</v>
      </c>
      <c r="L22" s="72" t="s">
        <v>40</v>
      </c>
      <c r="M22" s="240" t="s">
        <v>292</v>
      </c>
      <c r="N22" s="56"/>
    </row>
    <row r="23" spans="1:14" s="84" customFormat="1" ht="20.25" customHeight="1">
      <c r="A23" s="317" t="s">
        <v>291</v>
      </c>
      <c r="B23" s="35" t="s">
        <v>296</v>
      </c>
      <c r="C23" s="67"/>
      <c r="D23" s="67"/>
      <c r="E23" s="67">
        <v>2.1</v>
      </c>
      <c r="F23" s="67">
        <v>5</v>
      </c>
      <c r="G23" s="67"/>
      <c r="H23" s="67">
        <f>E23*F23</f>
        <v>10.5</v>
      </c>
      <c r="I23" s="265"/>
      <c r="J23" s="265"/>
      <c r="K23" s="66">
        <f>H23</f>
        <v>10.5</v>
      </c>
      <c r="L23" s="72" t="s">
        <v>37</v>
      </c>
      <c r="M23" s="238" t="s">
        <v>300</v>
      </c>
      <c r="N23" s="56"/>
    </row>
    <row r="24" spans="1:14" s="280" customFormat="1" ht="24">
      <c r="A24" s="317" t="s">
        <v>521</v>
      </c>
      <c r="B24" s="338" t="s">
        <v>572</v>
      </c>
      <c r="C24" s="29"/>
      <c r="D24" s="42">
        <v>2.5</v>
      </c>
      <c r="E24" s="44"/>
      <c r="F24" s="42">
        <v>3</v>
      </c>
      <c r="G24" s="44"/>
      <c r="H24" s="67">
        <f>D24*F24</f>
        <v>7.5</v>
      </c>
      <c r="I24" s="44"/>
      <c r="J24" s="44"/>
      <c r="K24" s="66">
        <f>H24</f>
        <v>7.5</v>
      </c>
      <c r="L24" s="72" t="s">
        <v>37</v>
      </c>
      <c r="M24" s="244" t="s">
        <v>49</v>
      </c>
      <c r="N24" s="56"/>
    </row>
    <row r="25" spans="1:14" s="280" customFormat="1" ht="24">
      <c r="A25" s="317" t="s">
        <v>523</v>
      </c>
      <c r="B25" s="338" t="s">
        <v>573</v>
      </c>
      <c r="C25" s="29"/>
      <c r="D25" s="42">
        <v>2.5</v>
      </c>
      <c r="E25" s="44"/>
      <c r="F25" s="42">
        <v>2.5</v>
      </c>
      <c r="G25" s="44"/>
      <c r="H25" s="67">
        <f>D25*F25</f>
        <v>6.25</v>
      </c>
      <c r="I25" s="44"/>
      <c r="J25" s="44"/>
      <c r="K25" s="66">
        <f>H25</f>
        <v>6.25</v>
      </c>
      <c r="L25" s="72" t="s">
        <v>37</v>
      </c>
      <c r="M25" s="244" t="s">
        <v>49</v>
      </c>
      <c r="N25" s="56"/>
    </row>
    <row r="26" spans="1:14" s="280" customFormat="1" ht="24">
      <c r="A26" s="317" t="s">
        <v>524</v>
      </c>
      <c r="B26" s="338" t="s">
        <v>574</v>
      </c>
      <c r="C26" s="29"/>
      <c r="D26" s="42">
        <v>2.5</v>
      </c>
      <c r="E26" s="44"/>
      <c r="F26" s="42">
        <v>2</v>
      </c>
      <c r="G26" s="44"/>
      <c r="H26" s="67">
        <f>D26*F26</f>
        <v>5</v>
      </c>
      <c r="I26" s="44"/>
      <c r="J26" s="44"/>
      <c r="K26" s="66">
        <f>H26</f>
        <v>5</v>
      </c>
      <c r="L26" s="72" t="s">
        <v>37</v>
      </c>
      <c r="M26" s="244" t="s">
        <v>49</v>
      </c>
      <c r="N26" s="56"/>
    </row>
    <row r="27" spans="1:14" s="280" customFormat="1" ht="24">
      <c r="A27" s="317" t="s">
        <v>525</v>
      </c>
      <c r="B27" s="338" t="s">
        <v>575</v>
      </c>
      <c r="C27" s="29"/>
      <c r="D27" s="42">
        <v>2</v>
      </c>
      <c r="E27" s="44"/>
      <c r="F27" s="42">
        <v>3</v>
      </c>
      <c r="G27" s="44"/>
      <c r="H27" s="67">
        <f>D27*F27</f>
        <v>6</v>
      </c>
      <c r="I27" s="44"/>
      <c r="J27" s="44"/>
      <c r="K27" s="66">
        <f>H27</f>
        <v>6</v>
      </c>
      <c r="L27" s="72" t="s">
        <v>37</v>
      </c>
      <c r="M27" s="244" t="s">
        <v>49</v>
      </c>
      <c r="N27" s="56"/>
    </row>
    <row r="28" spans="1:13" s="280" customFormat="1" ht="20.25">
      <c r="A28" s="288">
        <v>2</v>
      </c>
      <c r="B28" s="289" t="s">
        <v>522</v>
      </c>
      <c r="C28" s="22" t="s">
        <v>19</v>
      </c>
      <c r="D28" s="344" t="s">
        <v>20</v>
      </c>
      <c r="E28" s="345"/>
      <c r="F28" s="345"/>
      <c r="G28" s="346"/>
      <c r="H28" s="23"/>
      <c r="I28" s="23"/>
      <c r="J28" s="23"/>
      <c r="K28" s="22" t="s">
        <v>21</v>
      </c>
      <c r="L28" s="22" t="s">
        <v>22</v>
      </c>
      <c r="M28" s="24"/>
    </row>
    <row r="29" spans="1:14" ht="15">
      <c r="A29" s="317" t="s">
        <v>528</v>
      </c>
      <c r="B29" s="70" t="s">
        <v>526</v>
      </c>
      <c r="C29" s="67"/>
      <c r="D29" s="37"/>
      <c r="E29" s="42"/>
      <c r="F29" s="42"/>
      <c r="G29" s="37"/>
      <c r="H29" s="42"/>
      <c r="I29" s="37"/>
      <c r="J29" s="37"/>
      <c r="K29" s="66"/>
      <c r="L29" s="72"/>
      <c r="M29" s="286"/>
      <c r="N29" s="56"/>
    </row>
    <row r="30" spans="1:14" ht="23.25" customHeight="1">
      <c r="A30" s="317" t="s">
        <v>9</v>
      </c>
      <c r="B30" s="318" t="s">
        <v>527</v>
      </c>
      <c r="C30" s="67"/>
      <c r="D30" s="37"/>
      <c r="E30" s="42"/>
      <c r="F30" s="42"/>
      <c r="G30" s="43"/>
      <c r="H30" s="42"/>
      <c r="I30" s="37"/>
      <c r="J30" s="37"/>
      <c r="K30" s="66"/>
      <c r="L30" s="72"/>
      <c r="M30" s="286"/>
      <c r="N30" s="56"/>
    </row>
    <row r="31" spans="1:13" ht="18" customHeight="1">
      <c r="A31" s="288">
        <v>3</v>
      </c>
      <c r="B31" s="289" t="s">
        <v>0</v>
      </c>
      <c r="C31" s="22" t="s">
        <v>19</v>
      </c>
      <c r="D31" s="344" t="s">
        <v>20</v>
      </c>
      <c r="E31" s="345"/>
      <c r="F31" s="345"/>
      <c r="G31" s="346"/>
      <c r="H31" s="23"/>
      <c r="I31" s="23"/>
      <c r="J31" s="23"/>
      <c r="K31" s="22" t="s">
        <v>21</v>
      </c>
      <c r="L31" s="22" t="s">
        <v>22</v>
      </c>
      <c r="M31" s="50"/>
    </row>
    <row r="32" spans="1:13" ht="18" customHeight="1">
      <c r="A32" s="299"/>
      <c r="B32" s="300"/>
      <c r="C32" s="266"/>
      <c r="D32" s="267" t="s">
        <v>23</v>
      </c>
      <c r="E32" s="268" t="s">
        <v>24</v>
      </c>
      <c r="F32" s="268" t="s">
        <v>25</v>
      </c>
      <c r="G32" s="268" t="s">
        <v>293</v>
      </c>
      <c r="H32" s="268" t="s">
        <v>26</v>
      </c>
      <c r="I32" s="268" t="s">
        <v>31</v>
      </c>
      <c r="J32" s="268" t="s">
        <v>294</v>
      </c>
      <c r="K32" s="269"/>
      <c r="L32" s="270"/>
      <c r="M32" s="24"/>
    </row>
    <row r="33" spans="1:14" s="280" customFormat="1" ht="24">
      <c r="A33" s="317" t="s">
        <v>10</v>
      </c>
      <c r="B33" s="338" t="s">
        <v>576</v>
      </c>
      <c r="C33" s="25"/>
      <c r="D33" s="36"/>
      <c r="E33" s="27"/>
      <c r="F33" s="27"/>
      <c r="G33" s="27"/>
      <c r="H33" s="27"/>
      <c r="I33" s="27"/>
      <c r="J33" s="27"/>
      <c r="K33" s="66">
        <v>2.5</v>
      </c>
      <c r="L33" s="72" t="s">
        <v>40</v>
      </c>
      <c r="M33" s="250" t="s">
        <v>384</v>
      </c>
      <c r="N33" s="56"/>
    </row>
    <row r="34" spans="1:14" s="280" customFormat="1" ht="36">
      <c r="A34" s="317" t="s">
        <v>11</v>
      </c>
      <c r="B34" s="338" t="s">
        <v>577</v>
      </c>
      <c r="C34" s="25"/>
      <c r="D34" s="36"/>
      <c r="E34" s="27"/>
      <c r="F34" s="27"/>
      <c r="G34" s="27"/>
      <c r="H34" s="27"/>
      <c r="I34" s="27"/>
      <c r="J34" s="27"/>
      <c r="K34" s="66">
        <v>6</v>
      </c>
      <c r="L34" s="72" t="s">
        <v>40</v>
      </c>
      <c r="M34" s="250" t="s">
        <v>387</v>
      </c>
      <c r="N34" s="56"/>
    </row>
    <row r="35" spans="1:14" s="280" customFormat="1" ht="24">
      <c r="A35" s="317" t="s">
        <v>12</v>
      </c>
      <c r="B35" s="338" t="s">
        <v>578</v>
      </c>
      <c r="C35" s="25"/>
      <c r="D35" s="36"/>
      <c r="E35" s="27"/>
      <c r="F35" s="27"/>
      <c r="G35" s="27"/>
      <c r="H35" s="27"/>
      <c r="I35" s="27"/>
      <c r="J35" s="27"/>
      <c r="K35" s="66">
        <v>4</v>
      </c>
      <c r="L35" s="72" t="s">
        <v>40</v>
      </c>
      <c r="M35" s="45" t="s">
        <v>385</v>
      </c>
      <c r="N35" s="56"/>
    </row>
    <row r="36" spans="1:14" s="280" customFormat="1" ht="24">
      <c r="A36" s="317" t="s">
        <v>13</v>
      </c>
      <c r="B36" s="338" t="s">
        <v>579</v>
      </c>
      <c r="C36" s="25"/>
      <c r="D36" s="36"/>
      <c r="E36" s="27"/>
      <c r="F36" s="27"/>
      <c r="G36" s="27"/>
      <c r="H36" s="27"/>
      <c r="I36" s="27"/>
      <c r="J36" s="27"/>
      <c r="K36" s="66">
        <v>180</v>
      </c>
      <c r="L36" s="72" t="s">
        <v>41</v>
      </c>
      <c r="M36" s="250" t="s">
        <v>386</v>
      </c>
      <c r="N36" s="56"/>
    </row>
    <row r="37" spans="1:14" s="280" customFormat="1" ht="36">
      <c r="A37" s="317" t="s">
        <v>14</v>
      </c>
      <c r="B37" s="338" t="s">
        <v>580</v>
      </c>
      <c r="C37" s="25"/>
      <c r="D37" s="36"/>
      <c r="E37" s="36"/>
      <c r="F37" s="36"/>
      <c r="G37" s="36"/>
      <c r="H37" s="36"/>
      <c r="I37" s="36"/>
      <c r="J37" s="27"/>
      <c r="K37" s="66">
        <v>4</v>
      </c>
      <c r="L37" s="72" t="s">
        <v>40</v>
      </c>
      <c r="M37" s="250" t="s">
        <v>388</v>
      </c>
      <c r="N37" s="56"/>
    </row>
    <row r="38" spans="1:14" s="280" customFormat="1" ht="36">
      <c r="A38" s="317" t="s">
        <v>15</v>
      </c>
      <c r="B38" s="338" t="s">
        <v>581</v>
      </c>
      <c r="C38" s="25"/>
      <c r="D38" s="36"/>
      <c r="E38" s="36"/>
      <c r="F38" s="36"/>
      <c r="G38" s="36"/>
      <c r="H38" s="36"/>
      <c r="I38" s="36"/>
      <c r="J38" s="287"/>
      <c r="K38" s="66">
        <v>1.5</v>
      </c>
      <c r="L38" s="285" t="s">
        <v>40</v>
      </c>
      <c r="M38" s="250" t="s">
        <v>390</v>
      </c>
      <c r="N38" s="56"/>
    </row>
    <row r="39" spans="1:14" s="280" customFormat="1" ht="24">
      <c r="A39" s="317" t="s">
        <v>207</v>
      </c>
      <c r="B39" s="338" t="s">
        <v>582</v>
      </c>
      <c r="C39" s="25"/>
      <c r="D39" s="36"/>
      <c r="E39" s="36"/>
      <c r="F39" s="36"/>
      <c r="G39" s="36"/>
      <c r="H39" s="36"/>
      <c r="I39" s="36"/>
      <c r="J39" s="287"/>
      <c r="K39" s="66">
        <v>188</v>
      </c>
      <c r="L39" s="285" t="s">
        <v>37</v>
      </c>
      <c r="M39" s="258" t="s">
        <v>389</v>
      </c>
      <c r="N39" s="56"/>
    </row>
    <row r="40" spans="1:13" ht="20.25">
      <c r="A40" s="288">
        <v>4</v>
      </c>
      <c r="B40" s="289" t="s">
        <v>397</v>
      </c>
      <c r="C40" s="251" t="s">
        <v>19</v>
      </c>
      <c r="D40" s="349" t="s">
        <v>20</v>
      </c>
      <c r="E40" s="350"/>
      <c r="F40" s="350"/>
      <c r="G40" s="351"/>
      <c r="H40" s="252"/>
      <c r="I40" s="252"/>
      <c r="J40" s="252"/>
      <c r="K40" s="251" t="s">
        <v>21</v>
      </c>
      <c r="L40" s="251" t="s">
        <v>22</v>
      </c>
      <c r="M40" s="24"/>
    </row>
    <row r="41" spans="1:13" s="60" customFormat="1" ht="15">
      <c r="A41" s="73"/>
      <c r="B41" s="74"/>
      <c r="C41" s="74"/>
      <c r="D41" s="267" t="s">
        <v>23</v>
      </c>
      <c r="E41" s="268" t="s">
        <v>24</v>
      </c>
      <c r="F41" s="268" t="s">
        <v>25</v>
      </c>
      <c r="G41" s="268" t="s">
        <v>26</v>
      </c>
      <c r="H41" s="268" t="s">
        <v>35</v>
      </c>
      <c r="I41" s="268" t="s">
        <v>31</v>
      </c>
      <c r="J41" s="75"/>
      <c r="K41" s="77"/>
      <c r="L41" s="77"/>
      <c r="M41" s="59"/>
    </row>
    <row r="42" spans="1:14" s="26" customFormat="1" ht="24">
      <c r="A42" s="317" t="s">
        <v>27</v>
      </c>
      <c r="B42" s="319" t="s">
        <v>583</v>
      </c>
      <c r="C42" s="320">
        <v>30</v>
      </c>
      <c r="D42" s="320"/>
      <c r="E42" s="320"/>
      <c r="F42" s="320">
        <v>8</v>
      </c>
      <c r="G42" s="320"/>
      <c r="H42" s="320"/>
      <c r="I42" s="320"/>
      <c r="J42" s="320"/>
      <c r="K42" s="321">
        <f>F42*C42</f>
        <v>240</v>
      </c>
      <c r="L42" s="285" t="s">
        <v>39</v>
      </c>
      <c r="M42" s="286" t="s">
        <v>391</v>
      </c>
      <c r="N42" s="56"/>
    </row>
    <row r="43" spans="1:14" s="26" customFormat="1" ht="24">
      <c r="A43" s="317" t="s">
        <v>28</v>
      </c>
      <c r="B43" s="319" t="s">
        <v>584</v>
      </c>
      <c r="C43" s="320"/>
      <c r="D43" s="320"/>
      <c r="E43" s="320"/>
      <c r="F43" s="320"/>
      <c r="G43" s="320"/>
      <c r="H43" s="322">
        <v>0.245</v>
      </c>
      <c r="I43" s="320"/>
      <c r="J43" s="320"/>
      <c r="K43" s="321">
        <v>177.4</v>
      </c>
      <c r="L43" s="39" t="s">
        <v>34</v>
      </c>
      <c r="M43" s="239" t="s">
        <v>32</v>
      </c>
      <c r="N43" s="56"/>
    </row>
    <row r="44" spans="1:14" s="26" customFormat="1" ht="30" customHeight="1">
      <c r="A44" s="317" t="s">
        <v>346</v>
      </c>
      <c r="B44" s="319" t="s">
        <v>585</v>
      </c>
      <c r="C44" s="320"/>
      <c r="D44" s="320"/>
      <c r="E44" s="320"/>
      <c r="F44" s="320"/>
      <c r="G44" s="320"/>
      <c r="H44" s="322">
        <v>0.617</v>
      </c>
      <c r="I44" s="320"/>
      <c r="J44" s="320"/>
      <c r="K44" s="321">
        <v>386.61</v>
      </c>
      <c r="L44" s="39" t="s">
        <v>34</v>
      </c>
      <c r="M44" s="239" t="s">
        <v>33</v>
      </c>
      <c r="N44" s="56"/>
    </row>
    <row r="45" spans="1:14" s="26" customFormat="1" ht="24">
      <c r="A45" s="317" t="s">
        <v>411</v>
      </c>
      <c r="B45" s="319" t="s">
        <v>586</v>
      </c>
      <c r="C45" s="320"/>
      <c r="D45" s="320"/>
      <c r="E45" s="320"/>
      <c r="F45" s="320"/>
      <c r="G45" s="320"/>
      <c r="H45" s="320"/>
      <c r="I45" s="320"/>
      <c r="J45" s="320"/>
      <c r="K45" s="320"/>
      <c r="L45" s="285"/>
      <c r="M45" s="286"/>
      <c r="N45" s="56"/>
    </row>
    <row r="46" spans="1:14" s="26" customFormat="1" ht="24">
      <c r="A46" s="317" t="s">
        <v>412</v>
      </c>
      <c r="B46" s="319" t="s">
        <v>587</v>
      </c>
      <c r="C46" s="320"/>
      <c r="D46" s="320"/>
      <c r="E46" s="320"/>
      <c r="F46" s="320"/>
      <c r="G46" s="320"/>
      <c r="H46" s="320"/>
      <c r="I46" s="320"/>
      <c r="J46" s="320"/>
      <c r="K46" s="321">
        <v>21.13</v>
      </c>
      <c r="L46" s="285" t="s">
        <v>40</v>
      </c>
      <c r="M46" s="286"/>
      <c r="N46" s="56"/>
    </row>
    <row r="47" spans="1:14" s="26" customFormat="1" ht="24">
      <c r="A47" s="317" t="s">
        <v>413</v>
      </c>
      <c r="B47" s="319" t="s">
        <v>588</v>
      </c>
      <c r="C47" s="320"/>
      <c r="D47" s="320"/>
      <c r="E47" s="320"/>
      <c r="F47" s="320"/>
      <c r="G47" s="320"/>
      <c r="H47" s="322">
        <v>0.154</v>
      </c>
      <c r="I47" s="320"/>
      <c r="J47" s="320"/>
      <c r="K47" s="321">
        <v>175.71</v>
      </c>
      <c r="L47" s="39" t="s">
        <v>34</v>
      </c>
      <c r="M47" s="250" t="s">
        <v>393</v>
      </c>
      <c r="N47" s="56"/>
    </row>
    <row r="48" spans="1:14" s="26" customFormat="1" ht="24">
      <c r="A48" s="317" t="s">
        <v>414</v>
      </c>
      <c r="B48" s="319" t="s">
        <v>589</v>
      </c>
      <c r="C48" s="320"/>
      <c r="D48" s="320"/>
      <c r="E48" s="320"/>
      <c r="F48" s="320"/>
      <c r="G48" s="320"/>
      <c r="H48" s="322">
        <v>0.395</v>
      </c>
      <c r="I48" s="320"/>
      <c r="J48" s="320"/>
      <c r="K48" s="321">
        <v>120.35</v>
      </c>
      <c r="L48" s="39" t="s">
        <v>34</v>
      </c>
      <c r="M48" s="239" t="s">
        <v>250</v>
      </c>
      <c r="N48" s="56"/>
    </row>
    <row r="49" spans="1:14" s="26" customFormat="1" ht="24">
      <c r="A49" s="317" t="s">
        <v>415</v>
      </c>
      <c r="B49" s="319" t="s">
        <v>590</v>
      </c>
      <c r="C49" s="320"/>
      <c r="D49" s="320"/>
      <c r="E49" s="320"/>
      <c r="F49" s="320"/>
      <c r="G49" s="320"/>
      <c r="H49" s="320"/>
      <c r="I49" s="320"/>
      <c r="J49" s="320"/>
      <c r="K49" s="321">
        <v>129.5</v>
      </c>
      <c r="L49" s="285" t="s">
        <v>37</v>
      </c>
      <c r="M49" s="45" t="s">
        <v>395</v>
      </c>
      <c r="N49" s="56"/>
    </row>
    <row r="50" spans="1:14" s="26" customFormat="1" ht="24">
      <c r="A50" s="317" t="s">
        <v>416</v>
      </c>
      <c r="B50" s="319" t="s">
        <v>591</v>
      </c>
      <c r="C50" s="320"/>
      <c r="D50" s="320"/>
      <c r="E50" s="320"/>
      <c r="F50" s="320"/>
      <c r="G50" s="320"/>
      <c r="H50" s="320"/>
      <c r="I50" s="320"/>
      <c r="J50" s="320"/>
      <c r="K50" s="321">
        <v>155.4</v>
      </c>
      <c r="L50" s="285" t="s">
        <v>37</v>
      </c>
      <c r="M50" s="286"/>
      <c r="N50" s="56"/>
    </row>
    <row r="51" spans="1:13" ht="20.25">
      <c r="A51" s="288">
        <v>5</v>
      </c>
      <c r="B51" s="289" t="s">
        <v>398</v>
      </c>
      <c r="C51" s="22" t="s">
        <v>19</v>
      </c>
      <c r="D51" s="344" t="s">
        <v>20</v>
      </c>
      <c r="E51" s="345"/>
      <c r="F51" s="345"/>
      <c r="G51" s="346"/>
      <c r="H51" s="23"/>
      <c r="I51" s="23"/>
      <c r="J51" s="23"/>
      <c r="K51" s="22" t="s">
        <v>21</v>
      </c>
      <c r="L51" s="22" t="s">
        <v>22</v>
      </c>
      <c r="M51" s="24"/>
    </row>
    <row r="52" spans="1:13" s="60" customFormat="1" ht="15">
      <c r="A52" s="73"/>
      <c r="B52" s="74"/>
      <c r="C52" s="74"/>
      <c r="D52" s="267" t="s">
        <v>23</v>
      </c>
      <c r="E52" s="268" t="s">
        <v>24</v>
      </c>
      <c r="F52" s="268" t="s">
        <v>25</v>
      </c>
      <c r="G52" s="268" t="s">
        <v>26</v>
      </c>
      <c r="H52" s="268" t="s">
        <v>35</v>
      </c>
      <c r="I52" s="268" t="s">
        <v>31</v>
      </c>
      <c r="J52" s="75"/>
      <c r="K52" s="77"/>
      <c r="L52" s="77"/>
      <c r="M52" s="59"/>
    </row>
    <row r="53" spans="1:14" s="26" customFormat="1" ht="33.75" customHeight="1">
      <c r="A53" s="317" t="s">
        <v>51</v>
      </c>
      <c r="B53" s="319" t="s">
        <v>592</v>
      </c>
      <c r="C53" s="320"/>
      <c r="D53" s="320"/>
      <c r="E53" s="320"/>
      <c r="F53" s="320"/>
      <c r="G53" s="320"/>
      <c r="H53" s="322">
        <v>0.154</v>
      </c>
      <c r="I53" s="320"/>
      <c r="J53" s="320"/>
      <c r="K53" s="321">
        <v>141.55</v>
      </c>
      <c r="L53" s="294" t="s">
        <v>66</v>
      </c>
      <c r="M53" s="239" t="s">
        <v>392</v>
      </c>
      <c r="N53" s="56"/>
    </row>
    <row r="54" spans="1:14" s="26" customFormat="1" ht="27" customHeight="1">
      <c r="A54" s="317" t="s">
        <v>52</v>
      </c>
      <c r="B54" s="319" t="s">
        <v>593</v>
      </c>
      <c r="C54" s="320"/>
      <c r="D54" s="320"/>
      <c r="E54" s="320"/>
      <c r="F54" s="320"/>
      <c r="G54" s="320"/>
      <c r="H54" s="322">
        <v>0.395</v>
      </c>
      <c r="I54" s="320"/>
      <c r="J54" s="320"/>
      <c r="K54" s="321">
        <v>870.35</v>
      </c>
      <c r="L54" s="294" t="s">
        <v>66</v>
      </c>
      <c r="M54" s="250" t="s">
        <v>394</v>
      </c>
      <c r="N54" s="56"/>
    </row>
    <row r="55" spans="1:14" s="26" customFormat="1" ht="27" customHeight="1">
      <c r="A55" s="317" t="s">
        <v>53</v>
      </c>
      <c r="B55" s="319" t="s">
        <v>594</v>
      </c>
      <c r="C55" s="320"/>
      <c r="D55" s="320"/>
      <c r="E55" s="320"/>
      <c r="F55" s="320"/>
      <c r="G55" s="320"/>
      <c r="H55" s="320"/>
      <c r="I55" s="320"/>
      <c r="J55" s="320"/>
      <c r="K55" s="321">
        <v>266.6</v>
      </c>
      <c r="L55" s="294" t="s">
        <v>66</v>
      </c>
      <c r="M55" s="28"/>
      <c r="N55" s="56"/>
    </row>
    <row r="56" spans="1:14" s="26" customFormat="1" ht="36">
      <c r="A56" s="317" t="s">
        <v>417</v>
      </c>
      <c r="B56" s="319" t="s">
        <v>595</v>
      </c>
      <c r="C56" s="320"/>
      <c r="D56" s="320"/>
      <c r="E56" s="320"/>
      <c r="F56" s="320"/>
      <c r="G56" s="320"/>
      <c r="H56" s="320"/>
      <c r="I56" s="320">
        <v>3.35</v>
      </c>
      <c r="J56" s="320"/>
      <c r="K56" s="321">
        <f>I56</f>
        <v>3.35</v>
      </c>
      <c r="L56" s="285" t="s">
        <v>40</v>
      </c>
      <c r="M56" s="28"/>
      <c r="N56" s="56"/>
    </row>
    <row r="57" spans="1:14" s="26" customFormat="1" ht="24">
      <c r="A57" s="317" t="s">
        <v>418</v>
      </c>
      <c r="B57" s="319" t="s">
        <v>596</v>
      </c>
      <c r="C57" s="320"/>
      <c r="D57" s="320"/>
      <c r="E57" s="320">
        <v>21.4</v>
      </c>
      <c r="F57" s="320"/>
      <c r="G57" s="320"/>
      <c r="H57" s="320"/>
      <c r="I57" s="320"/>
      <c r="J57" s="320"/>
      <c r="K57" s="321">
        <f>E57</f>
        <v>21.4</v>
      </c>
      <c r="L57" s="285" t="s">
        <v>39</v>
      </c>
      <c r="M57" s="28"/>
      <c r="N57" s="56"/>
    </row>
    <row r="58" spans="1:14" s="26" customFormat="1" ht="24">
      <c r="A58" s="317" t="s">
        <v>419</v>
      </c>
      <c r="B58" s="319" t="s">
        <v>597</v>
      </c>
      <c r="C58" s="320"/>
      <c r="D58" s="320"/>
      <c r="E58" s="320">
        <v>8.5</v>
      </c>
      <c r="F58" s="320"/>
      <c r="G58" s="320"/>
      <c r="H58" s="320"/>
      <c r="I58" s="320"/>
      <c r="J58" s="320"/>
      <c r="K58" s="321">
        <f>E58</f>
        <v>8.5</v>
      </c>
      <c r="L58" s="285" t="s">
        <v>39</v>
      </c>
      <c r="M58" s="28"/>
      <c r="N58" s="56"/>
    </row>
    <row r="59" spans="1:14" s="26" customFormat="1" ht="23.25" customHeight="1">
      <c r="A59" s="317" t="s">
        <v>423</v>
      </c>
      <c r="B59" s="319" t="s">
        <v>598</v>
      </c>
      <c r="C59" s="320"/>
      <c r="D59" s="320"/>
      <c r="E59" s="320"/>
      <c r="F59" s="320"/>
      <c r="G59" s="320"/>
      <c r="H59" s="320"/>
      <c r="I59" s="320"/>
      <c r="J59" s="320"/>
      <c r="K59" s="321">
        <v>18.5</v>
      </c>
      <c r="L59" s="285" t="s">
        <v>37</v>
      </c>
      <c r="M59" s="28"/>
      <c r="N59" s="56"/>
    </row>
    <row r="60" spans="1:13" ht="21" customHeight="1">
      <c r="A60" s="20">
        <v>6</v>
      </c>
      <c r="B60" s="289" t="s">
        <v>539</v>
      </c>
      <c r="C60" s="22" t="s">
        <v>19</v>
      </c>
      <c r="D60" s="344" t="s">
        <v>20</v>
      </c>
      <c r="E60" s="345"/>
      <c r="F60" s="345"/>
      <c r="G60" s="346"/>
      <c r="H60" s="23"/>
      <c r="I60" s="23"/>
      <c r="J60" s="23"/>
      <c r="K60" s="22" t="s">
        <v>21</v>
      </c>
      <c r="L60" s="22" t="s">
        <v>22</v>
      </c>
      <c r="M60" s="24"/>
    </row>
    <row r="61" spans="1:13" s="60" customFormat="1" ht="18.75">
      <c r="A61" s="298"/>
      <c r="B61" s="301" t="s">
        <v>422</v>
      </c>
      <c r="C61" s="58"/>
      <c r="D61" s="62" t="s">
        <v>23</v>
      </c>
      <c r="E61" s="63" t="s">
        <v>24</v>
      </c>
      <c r="F61" s="62" t="s">
        <v>29</v>
      </c>
      <c r="G61" s="62" t="s">
        <v>30</v>
      </c>
      <c r="H61" s="80" t="s">
        <v>35</v>
      </c>
      <c r="I61" s="62" t="s">
        <v>31</v>
      </c>
      <c r="J61" s="62"/>
      <c r="K61" s="61"/>
      <c r="L61" s="61"/>
      <c r="M61" s="59"/>
    </row>
    <row r="62" spans="1:19" s="84" customFormat="1" ht="41.25" customHeight="1">
      <c r="A62" s="323" t="s">
        <v>420</v>
      </c>
      <c r="B62" s="70" t="s">
        <v>599</v>
      </c>
      <c r="C62" s="324"/>
      <c r="D62" s="246"/>
      <c r="E62" s="246">
        <v>2.7</v>
      </c>
      <c r="F62" s="246">
        <v>82.37</v>
      </c>
      <c r="G62" s="246">
        <f>E62*F62</f>
        <v>222.39900000000003</v>
      </c>
      <c r="H62" s="324"/>
      <c r="I62" s="246"/>
      <c r="J62" s="246"/>
      <c r="K62" s="321">
        <f>G62</f>
        <v>222.39900000000003</v>
      </c>
      <c r="L62" s="294" t="s">
        <v>37</v>
      </c>
      <c r="N62" s="56"/>
      <c r="O62" s="60"/>
      <c r="P62" s="60"/>
      <c r="Q62" s="60"/>
      <c r="R62" s="60"/>
      <c r="S62" s="60"/>
    </row>
    <row r="63" spans="1:13" s="60" customFormat="1" ht="18.75">
      <c r="A63" s="298"/>
      <c r="B63" s="301" t="s">
        <v>424</v>
      </c>
      <c r="C63" s="58"/>
      <c r="D63" s="62" t="s">
        <v>23</v>
      </c>
      <c r="E63" s="63" t="s">
        <v>24</v>
      </c>
      <c r="F63" s="62" t="s">
        <v>29</v>
      </c>
      <c r="G63" s="62" t="s">
        <v>30</v>
      </c>
      <c r="H63" s="62" t="s">
        <v>35</v>
      </c>
      <c r="I63" s="62" t="s">
        <v>31</v>
      </c>
      <c r="J63" s="62"/>
      <c r="K63" s="61"/>
      <c r="L63" s="61"/>
      <c r="M63" s="59"/>
    </row>
    <row r="64" spans="1:19" s="84" customFormat="1" ht="39" customHeight="1">
      <c r="A64" s="323" t="s">
        <v>421</v>
      </c>
      <c r="B64" s="70" t="s">
        <v>600</v>
      </c>
      <c r="C64" s="324"/>
      <c r="D64" s="246"/>
      <c r="E64" s="246">
        <v>2.7</v>
      </c>
      <c r="F64" s="246">
        <v>46.85</v>
      </c>
      <c r="G64" s="246">
        <f>E64*F64</f>
        <v>126.49500000000002</v>
      </c>
      <c r="H64" s="324"/>
      <c r="I64" s="246"/>
      <c r="J64" s="246"/>
      <c r="K64" s="321">
        <f>G64</f>
        <v>126.49500000000002</v>
      </c>
      <c r="L64" s="325" t="s">
        <v>37</v>
      </c>
      <c r="N64" s="56"/>
      <c r="O64" s="60"/>
      <c r="P64" s="60"/>
      <c r="Q64" s="60"/>
      <c r="R64" s="60"/>
      <c r="S64" s="60"/>
    </row>
    <row r="65" spans="1:15" s="84" customFormat="1" ht="18.75">
      <c r="A65" s="81"/>
      <c r="B65" s="83"/>
      <c r="C65" s="81"/>
      <c r="D65" s="82"/>
      <c r="E65" s="82"/>
      <c r="F65" s="82"/>
      <c r="G65" s="82"/>
      <c r="H65" s="81"/>
      <c r="I65" s="82"/>
      <c r="J65" s="82"/>
      <c r="K65" s="86"/>
      <c r="L65" s="51"/>
      <c r="M65" s="78"/>
      <c r="O65" s="85"/>
    </row>
    <row r="66" spans="1:13" ht="21" customHeight="1">
      <c r="A66" s="20">
        <v>7</v>
      </c>
      <c r="B66" s="289" t="s">
        <v>403</v>
      </c>
      <c r="C66" s="22" t="s">
        <v>19</v>
      </c>
      <c r="D66" s="344" t="s">
        <v>20</v>
      </c>
      <c r="E66" s="345"/>
      <c r="F66" s="345"/>
      <c r="G66" s="346"/>
      <c r="H66" s="23"/>
      <c r="I66" s="23"/>
      <c r="J66" s="23"/>
      <c r="K66" s="22" t="s">
        <v>21</v>
      </c>
      <c r="L66" s="22" t="s">
        <v>22</v>
      </c>
      <c r="M66" s="24"/>
    </row>
    <row r="67" spans="1:12" ht="15">
      <c r="A67" s="57"/>
      <c r="B67" s="58"/>
      <c r="C67" s="58"/>
      <c r="D67" s="62" t="s">
        <v>23</v>
      </c>
      <c r="E67" s="63" t="s">
        <v>24</v>
      </c>
      <c r="F67" s="62" t="s">
        <v>29</v>
      </c>
      <c r="G67" s="62" t="s">
        <v>30</v>
      </c>
      <c r="H67" s="62" t="s">
        <v>35</v>
      </c>
      <c r="I67" s="62" t="s">
        <v>31</v>
      </c>
      <c r="J67" s="62"/>
      <c r="K67" s="61"/>
      <c r="L67" s="61"/>
    </row>
    <row r="68" spans="1:14" ht="36">
      <c r="A68" s="323" t="s">
        <v>56</v>
      </c>
      <c r="B68" s="248" t="s">
        <v>601</v>
      </c>
      <c r="C68" s="324"/>
      <c r="D68" s="246">
        <v>20.26</v>
      </c>
      <c r="E68" s="3"/>
      <c r="F68" s="38">
        <v>10.25</v>
      </c>
      <c r="G68" s="38">
        <f>TRUNC(D68*F68,2)</f>
        <v>207.66</v>
      </c>
      <c r="H68" s="3"/>
      <c r="I68" s="3"/>
      <c r="J68" s="3"/>
      <c r="K68" s="46">
        <f>G68</f>
        <v>207.66</v>
      </c>
      <c r="L68" s="278" t="s">
        <v>37</v>
      </c>
      <c r="M68" s="186" t="s">
        <v>49</v>
      </c>
      <c r="N68" s="330"/>
    </row>
    <row r="69" spans="1:14" ht="24">
      <c r="A69" s="323" t="s">
        <v>57</v>
      </c>
      <c r="B69" s="248" t="s">
        <v>602</v>
      </c>
      <c r="C69" s="324"/>
      <c r="D69" s="324"/>
      <c r="E69" s="3"/>
      <c r="F69" s="38">
        <v>7.2</v>
      </c>
      <c r="G69" s="3"/>
      <c r="H69" s="3"/>
      <c r="I69" s="3"/>
      <c r="J69" s="3"/>
      <c r="K69" s="46">
        <f aca="true" t="shared" si="0" ref="K69:K74">F69</f>
        <v>7.2</v>
      </c>
      <c r="L69" s="278" t="s">
        <v>39</v>
      </c>
      <c r="M69" s="186" t="s">
        <v>49</v>
      </c>
      <c r="N69" s="330"/>
    </row>
    <row r="70" spans="1:14" s="84" customFormat="1" ht="24">
      <c r="A70" s="323" t="s">
        <v>58</v>
      </c>
      <c r="B70" s="248" t="s">
        <v>298</v>
      </c>
      <c r="C70" s="324"/>
      <c r="D70" s="324"/>
      <c r="E70" s="3"/>
      <c r="F70" s="38">
        <v>7.25</v>
      </c>
      <c r="G70" s="3"/>
      <c r="H70" s="3"/>
      <c r="I70" s="3"/>
      <c r="J70" s="3"/>
      <c r="K70" s="46">
        <f t="shared" si="0"/>
        <v>7.25</v>
      </c>
      <c r="L70" s="278" t="s">
        <v>39</v>
      </c>
      <c r="M70" s="186" t="s">
        <v>49</v>
      </c>
      <c r="N70" s="330"/>
    </row>
    <row r="71" spans="1:14" ht="24">
      <c r="A71" s="323" t="s">
        <v>59</v>
      </c>
      <c r="B71" s="248" t="s">
        <v>603</v>
      </c>
      <c r="C71" s="324"/>
      <c r="D71" s="324"/>
      <c r="E71" s="3"/>
      <c r="F71" s="38">
        <f>6.2+11.7+7.42+4.15+7.05+7.78</f>
        <v>44.3</v>
      </c>
      <c r="G71" s="3"/>
      <c r="H71" s="3"/>
      <c r="I71" s="3"/>
      <c r="J71" s="3"/>
      <c r="K71" s="46">
        <f t="shared" si="0"/>
        <v>44.3</v>
      </c>
      <c r="L71" s="278" t="s">
        <v>39</v>
      </c>
      <c r="M71" s="186" t="s">
        <v>49</v>
      </c>
      <c r="N71" s="330"/>
    </row>
    <row r="72" spans="1:14" s="84" customFormat="1" ht="15">
      <c r="A72" s="323" t="s">
        <v>60</v>
      </c>
      <c r="B72" s="248" t="s">
        <v>604</v>
      </c>
      <c r="C72" s="324"/>
      <c r="D72" s="324"/>
      <c r="E72" s="3"/>
      <c r="F72" s="38">
        <f>10.38+4.82+1.38+0.6+4.05+4.15+0.3+4+4.08+7.28</f>
        <v>41.040000000000006</v>
      </c>
      <c r="G72" s="3"/>
      <c r="H72" s="3"/>
      <c r="I72" s="3"/>
      <c r="J72" s="3"/>
      <c r="K72" s="46">
        <f t="shared" si="0"/>
        <v>41.040000000000006</v>
      </c>
      <c r="L72" s="278" t="s">
        <v>39</v>
      </c>
      <c r="M72" s="186" t="s">
        <v>49</v>
      </c>
      <c r="N72" s="330"/>
    </row>
    <row r="73" spans="1:14" s="84" customFormat="1" ht="24">
      <c r="A73" s="323" t="s">
        <v>347</v>
      </c>
      <c r="B73" s="248" t="s">
        <v>297</v>
      </c>
      <c r="C73" s="324"/>
      <c r="D73" s="324"/>
      <c r="E73" s="3"/>
      <c r="F73" s="38">
        <v>5.8</v>
      </c>
      <c r="G73" s="3"/>
      <c r="H73" s="3"/>
      <c r="I73" s="3"/>
      <c r="J73" s="3"/>
      <c r="K73" s="46">
        <f t="shared" si="0"/>
        <v>5.8</v>
      </c>
      <c r="L73" s="278" t="s">
        <v>39</v>
      </c>
      <c r="M73" s="186" t="s">
        <v>49</v>
      </c>
      <c r="N73" s="330"/>
    </row>
    <row r="74" spans="1:14" ht="24">
      <c r="A74" s="323" t="s">
        <v>348</v>
      </c>
      <c r="B74" s="248" t="s">
        <v>605</v>
      </c>
      <c r="C74" s="324"/>
      <c r="D74" s="324"/>
      <c r="E74" s="3"/>
      <c r="F74" s="38">
        <f>4.36-0.6+10.36-0.3+4.82-0.3+1.38+0.6+4.05+4.15+0.3+4.05+4.65+4.15+4.5+4.05+7.28-0.6</f>
        <v>56.9</v>
      </c>
      <c r="G74" s="3"/>
      <c r="H74" s="3"/>
      <c r="I74" s="3"/>
      <c r="J74" s="3"/>
      <c r="K74" s="46">
        <f t="shared" si="0"/>
        <v>56.9</v>
      </c>
      <c r="L74" s="278" t="s">
        <v>39</v>
      </c>
      <c r="M74" s="186" t="s">
        <v>49</v>
      </c>
      <c r="N74" s="330"/>
    </row>
    <row r="75" spans="1:14" s="84" customFormat="1" ht="24">
      <c r="A75" s="323" t="s">
        <v>349</v>
      </c>
      <c r="B75" s="248" t="s">
        <v>606</v>
      </c>
      <c r="C75" s="324"/>
      <c r="D75" s="246">
        <v>10.2</v>
      </c>
      <c r="E75" s="3"/>
      <c r="F75" s="38">
        <v>17</v>
      </c>
      <c r="G75" s="38">
        <f>TRUNC(D75*F75,2)</f>
        <v>173.4</v>
      </c>
      <c r="H75" s="3"/>
      <c r="I75" s="3"/>
      <c r="J75" s="3"/>
      <c r="K75" s="46">
        <f>G75</f>
        <v>173.4</v>
      </c>
      <c r="L75" s="278" t="s">
        <v>37</v>
      </c>
      <c r="M75" s="186" t="s">
        <v>49</v>
      </c>
      <c r="N75" s="331"/>
    </row>
    <row r="76" spans="1:14" s="84" customFormat="1" ht="24">
      <c r="A76" s="323" t="s">
        <v>350</v>
      </c>
      <c r="B76" s="248" t="s">
        <v>608</v>
      </c>
      <c r="C76" s="246">
        <v>1</v>
      </c>
      <c r="D76" s="324"/>
      <c r="E76" s="3"/>
      <c r="F76" s="38"/>
      <c r="G76" s="3"/>
      <c r="H76" s="3"/>
      <c r="I76" s="3"/>
      <c r="J76" s="3"/>
      <c r="K76" s="46">
        <f>C76</f>
        <v>1</v>
      </c>
      <c r="L76" s="71" t="s">
        <v>38</v>
      </c>
      <c r="M76" s="188" t="s">
        <v>299</v>
      </c>
      <c r="N76" s="330"/>
    </row>
    <row r="77" spans="1:14" s="84" customFormat="1" ht="15">
      <c r="A77" s="323" t="s">
        <v>351</v>
      </c>
      <c r="B77" s="248" t="s">
        <v>607</v>
      </c>
      <c r="C77" s="324"/>
      <c r="D77" s="324"/>
      <c r="E77" s="3"/>
      <c r="F77" s="38">
        <v>221.65</v>
      </c>
      <c r="G77" s="3"/>
      <c r="H77" s="3"/>
      <c r="I77" s="3"/>
      <c r="J77" s="3"/>
      <c r="K77" s="46">
        <f>F77</f>
        <v>221.65</v>
      </c>
      <c r="L77" s="278" t="s">
        <v>39</v>
      </c>
      <c r="M77" s="186" t="s">
        <v>49</v>
      </c>
      <c r="N77" s="330"/>
    </row>
    <row r="78" spans="1:14" s="280" customFormat="1" ht="24">
      <c r="A78" s="323" t="s">
        <v>426</v>
      </c>
      <c r="B78" s="248" t="s">
        <v>425</v>
      </c>
      <c r="C78" s="246"/>
      <c r="D78" s="324"/>
      <c r="E78" s="277"/>
      <c r="F78" s="277"/>
      <c r="G78" s="277"/>
      <c r="H78" s="277"/>
      <c r="I78" s="277"/>
      <c r="J78" s="277"/>
      <c r="K78" s="46">
        <v>227.66</v>
      </c>
      <c r="L78" s="310" t="s">
        <v>37</v>
      </c>
      <c r="M78" s="188"/>
      <c r="N78" s="330"/>
    </row>
    <row r="79" spans="1:13" ht="21" customHeight="1">
      <c r="A79" s="20">
        <v>8</v>
      </c>
      <c r="B79" s="21" t="s">
        <v>402</v>
      </c>
      <c r="C79" s="22" t="s">
        <v>19</v>
      </c>
      <c r="D79" s="344" t="s">
        <v>20</v>
      </c>
      <c r="E79" s="345"/>
      <c r="F79" s="345"/>
      <c r="G79" s="346"/>
      <c r="H79" s="23"/>
      <c r="I79" s="23"/>
      <c r="J79" s="23"/>
      <c r="K79" s="22" t="s">
        <v>21</v>
      </c>
      <c r="L79" s="22" t="s">
        <v>22</v>
      </c>
      <c r="M79" s="273"/>
    </row>
    <row r="80" spans="1:12" ht="15">
      <c r="A80" s="57"/>
      <c r="B80" s="58"/>
      <c r="C80" s="58"/>
      <c r="D80" s="62" t="s">
        <v>23</v>
      </c>
      <c r="E80" s="63" t="s">
        <v>24</v>
      </c>
      <c r="F80" s="62" t="s">
        <v>29</v>
      </c>
      <c r="G80" s="62" t="s">
        <v>30</v>
      </c>
      <c r="H80" s="62" t="s">
        <v>35</v>
      </c>
      <c r="I80" s="62" t="s">
        <v>31</v>
      </c>
      <c r="J80" s="62"/>
      <c r="K80" s="61"/>
      <c r="L80" s="61"/>
    </row>
    <row r="81" spans="1:14" ht="27" customHeight="1">
      <c r="A81" s="323" t="s">
        <v>61</v>
      </c>
      <c r="B81" s="248" t="s">
        <v>609</v>
      </c>
      <c r="C81" s="3"/>
      <c r="D81" s="3"/>
      <c r="E81" s="234">
        <v>2.88</v>
      </c>
      <c r="F81" s="234">
        <v>207.5</v>
      </c>
      <c r="G81" s="234">
        <f>E81*F81</f>
        <v>597.6</v>
      </c>
      <c r="H81" s="3"/>
      <c r="I81" s="3"/>
      <c r="J81" s="3"/>
      <c r="K81" s="46">
        <f>G81</f>
        <v>597.6</v>
      </c>
      <c r="L81" s="309" t="s">
        <v>37</v>
      </c>
      <c r="M81" s="188" t="s">
        <v>301</v>
      </c>
      <c r="N81" s="330"/>
    </row>
    <row r="82" spans="1:14" ht="36">
      <c r="A82" s="323" t="s">
        <v>62</v>
      </c>
      <c r="B82" s="248" t="s">
        <v>610</v>
      </c>
      <c r="C82" s="3"/>
      <c r="D82" s="3"/>
      <c r="E82" s="234">
        <v>2.88</v>
      </c>
      <c r="F82" s="271">
        <v>90.277</v>
      </c>
      <c r="G82" s="234">
        <f>E82*F82</f>
        <v>259.99775999999997</v>
      </c>
      <c r="H82" s="3"/>
      <c r="I82" s="3"/>
      <c r="J82" s="3"/>
      <c r="K82" s="46">
        <f>G82</f>
        <v>259.99775999999997</v>
      </c>
      <c r="L82" s="309" t="s">
        <v>37</v>
      </c>
      <c r="M82" s="188" t="s">
        <v>302</v>
      </c>
      <c r="N82" s="330"/>
    </row>
    <row r="83" spans="1:14" s="84" customFormat="1" ht="36">
      <c r="A83" s="323" t="s">
        <v>63</v>
      </c>
      <c r="B83" s="248" t="s">
        <v>611</v>
      </c>
      <c r="C83" s="3"/>
      <c r="D83" s="3"/>
      <c r="E83" s="234">
        <v>2.88</v>
      </c>
      <c r="F83" s="271">
        <v>90.277</v>
      </c>
      <c r="G83" s="234">
        <f>E83*F83</f>
        <v>259.99775999999997</v>
      </c>
      <c r="H83" s="3"/>
      <c r="I83" s="3"/>
      <c r="J83" s="3"/>
      <c r="K83" s="46">
        <f>G83</f>
        <v>259.99775999999997</v>
      </c>
      <c r="L83" s="309" t="s">
        <v>37</v>
      </c>
      <c r="M83" s="188" t="s">
        <v>303</v>
      </c>
      <c r="N83" s="330"/>
    </row>
    <row r="84" spans="1:14" ht="36">
      <c r="A84" s="323" t="s">
        <v>64</v>
      </c>
      <c r="B84" s="248" t="s">
        <v>612</v>
      </c>
      <c r="C84" s="3"/>
      <c r="D84" s="3"/>
      <c r="E84" s="234">
        <v>2.88</v>
      </c>
      <c r="F84" s="234">
        <v>207.5</v>
      </c>
      <c r="G84" s="234">
        <f>E84*F84</f>
        <v>597.6</v>
      </c>
      <c r="H84" s="3"/>
      <c r="I84" s="3"/>
      <c r="J84" s="3"/>
      <c r="K84" s="46">
        <f>G84</f>
        <v>597.6</v>
      </c>
      <c r="L84" s="309" t="s">
        <v>37</v>
      </c>
      <c r="M84" s="188" t="s">
        <v>304</v>
      </c>
      <c r="N84" s="330"/>
    </row>
    <row r="85" spans="1:14" s="26" customFormat="1" ht="39" customHeight="1">
      <c r="A85" s="323" t="s">
        <v>65</v>
      </c>
      <c r="B85" s="328" t="s">
        <v>613</v>
      </c>
      <c r="C85" s="38"/>
      <c r="D85" s="3"/>
      <c r="E85" s="234">
        <v>1.6</v>
      </c>
      <c r="F85" s="234">
        <v>48.5</v>
      </c>
      <c r="G85" s="234">
        <f>E85*F85</f>
        <v>77.60000000000001</v>
      </c>
      <c r="H85" s="253"/>
      <c r="I85" s="253"/>
      <c r="J85" s="253"/>
      <c r="K85" s="46">
        <f>G85</f>
        <v>77.60000000000001</v>
      </c>
      <c r="L85" s="308" t="s">
        <v>37</v>
      </c>
      <c r="M85" s="49" t="s">
        <v>305</v>
      </c>
      <c r="N85" s="330"/>
    </row>
    <row r="86" spans="1:13" s="26" customFormat="1" ht="24.75" customHeight="1">
      <c r="A86" s="20">
        <v>9</v>
      </c>
      <c r="B86" s="245" t="s">
        <v>352</v>
      </c>
      <c r="C86" s="251" t="s">
        <v>19</v>
      </c>
      <c r="D86" s="349" t="s">
        <v>20</v>
      </c>
      <c r="E86" s="350"/>
      <c r="F86" s="350"/>
      <c r="G86" s="351"/>
      <c r="H86" s="252"/>
      <c r="I86" s="252"/>
      <c r="J86" s="252"/>
      <c r="K86" s="251" t="s">
        <v>21</v>
      </c>
      <c r="L86" s="251" t="s">
        <v>22</v>
      </c>
      <c r="M86" s="254"/>
    </row>
    <row r="87" spans="1:12" s="84" customFormat="1" ht="15">
      <c r="A87" s="57"/>
      <c r="B87" s="58"/>
      <c r="C87" s="58"/>
      <c r="D87" s="62" t="s">
        <v>23</v>
      </c>
      <c r="E87" s="63" t="s">
        <v>24</v>
      </c>
      <c r="F87" s="62" t="s">
        <v>29</v>
      </c>
      <c r="G87" s="62" t="s">
        <v>30</v>
      </c>
      <c r="H87" s="62"/>
      <c r="I87" s="62" t="s">
        <v>31</v>
      </c>
      <c r="J87" s="62"/>
      <c r="K87" s="61"/>
      <c r="L87" s="61"/>
    </row>
    <row r="88" spans="1:14" s="26" customFormat="1" ht="24">
      <c r="A88" s="323" t="s">
        <v>208</v>
      </c>
      <c r="B88" s="70" t="s">
        <v>614</v>
      </c>
      <c r="C88" s="38"/>
      <c r="D88" s="3"/>
      <c r="E88" s="38">
        <v>0.05</v>
      </c>
      <c r="F88" s="38"/>
      <c r="G88" s="253">
        <v>233.35</v>
      </c>
      <c r="H88" s="253"/>
      <c r="I88" s="253">
        <f>E88*G88</f>
        <v>11.6675</v>
      </c>
      <c r="J88" s="253"/>
      <c r="K88" s="46">
        <f>I88</f>
        <v>11.6675</v>
      </c>
      <c r="L88" s="308" t="s">
        <v>40</v>
      </c>
      <c r="M88" s="238" t="s">
        <v>308</v>
      </c>
      <c r="N88" s="330"/>
    </row>
    <row r="89" spans="1:14" s="26" customFormat="1" ht="24">
      <c r="A89" s="323" t="s">
        <v>209</v>
      </c>
      <c r="B89" s="70" t="s">
        <v>615</v>
      </c>
      <c r="C89" s="38"/>
      <c r="D89" s="3"/>
      <c r="E89" s="38"/>
      <c r="F89" s="38"/>
      <c r="G89" s="253">
        <v>161.75</v>
      </c>
      <c r="H89" s="253"/>
      <c r="I89" s="253">
        <f>E89*G89</f>
        <v>0</v>
      </c>
      <c r="J89" s="253"/>
      <c r="K89" s="46">
        <f>G89</f>
        <v>161.75</v>
      </c>
      <c r="L89" s="308" t="s">
        <v>37</v>
      </c>
      <c r="M89" s="254" t="s">
        <v>309</v>
      </c>
      <c r="N89" s="330"/>
    </row>
    <row r="90" spans="1:14" s="26" customFormat="1" ht="27" customHeight="1">
      <c r="A90" s="323" t="s">
        <v>210</v>
      </c>
      <c r="B90" s="70" t="s">
        <v>616</v>
      </c>
      <c r="C90" s="38"/>
      <c r="D90" s="3"/>
      <c r="E90" s="38"/>
      <c r="F90" s="38"/>
      <c r="G90" s="253">
        <f>G89</f>
        <v>161.75</v>
      </c>
      <c r="H90" s="253"/>
      <c r="I90" s="253"/>
      <c r="J90" s="253"/>
      <c r="K90" s="46">
        <f>G90</f>
        <v>161.75</v>
      </c>
      <c r="L90" s="308" t="s">
        <v>37</v>
      </c>
      <c r="M90" s="49" t="s">
        <v>310</v>
      </c>
      <c r="N90" s="330"/>
    </row>
    <row r="91" spans="1:14" s="26" customFormat="1" ht="26.25" customHeight="1">
      <c r="A91" s="323" t="s">
        <v>211</v>
      </c>
      <c r="B91" s="70" t="s">
        <v>617</v>
      </c>
      <c r="C91" s="38"/>
      <c r="D91" s="3"/>
      <c r="E91" s="38"/>
      <c r="F91" s="38">
        <v>103.1</v>
      </c>
      <c r="G91" s="253"/>
      <c r="H91" s="253"/>
      <c r="I91" s="253"/>
      <c r="J91" s="253"/>
      <c r="K91" s="46">
        <f>F91</f>
        <v>103.1</v>
      </c>
      <c r="L91" s="308" t="s">
        <v>39</v>
      </c>
      <c r="M91" s="236" t="s">
        <v>311</v>
      </c>
      <c r="N91" s="330"/>
    </row>
    <row r="92" spans="1:14" s="26" customFormat="1" ht="24">
      <c r="A92" s="323" t="s">
        <v>212</v>
      </c>
      <c r="B92" s="70" t="s">
        <v>618</v>
      </c>
      <c r="C92" s="38"/>
      <c r="D92" s="3"/>
      <c r="E92" s="38"/>
      <c r="F92" s="38">
        <v>5.65</v>
      </c>
      <c r="G92" s="253"/>
      <c r="H92" s="253"/>
      <c r="I92" s="253"/>
      <c r="J92" s="253"/>
      <c r="K92" s="46">
        <f>F92</f>
        <v>5.65</v>
      </c>
      <c r="L92" s="308" t="s">
        <v>39</v>
      </c>
      <c r="M92" s="49" t="s">
        <v>307</v>
      </c>
      <c r="N92" s="330"/>
    </row>
    <row r="93" spans="1:14" s="26" customFormat="1" ht="33.75" customHeight="1">
      <c r="A93" s="323" t="s">
        <v>213</v>
      </c>
      <c r="B93" s="70" t="s">
        <v>619</v>
      </c>
      <c r="C93" s="38"/>
      <c r="D93" s="3"/>
      <c r="E93" s="38"/>
      <c r="F93" s="38">
        <v>0.1</v>
      </c>
      <c r="G93" s="253">
        <v>212.5</v>
      </c>
      <c r="H93" s="253"/>
      <c r="I93" s="253">
        <f>F93*G93</f>
        <v>21.25</v>
      </c>
      <c r="J93" s="253"/>
      <c r="K93" s="46">
        <f>I93</f>
        <v>21.25</v>
      </c>
      <c r="L93" s="308" t="s">
        <v>40</v>
      </c>
      <c r="M93" s="258" t="s">
        <v>312</v>
      </c>
      <c r="N93" s="330"/>
    </row>
    <row r="94" spans="1:14" s="26" customFormat="1" ht="30" customHeight="1">
      <c r="A94" s="323" t="s">
        <v>214</v>
      </c>
      <c r="B94" s="70" t="s">
        <v>620</v>
      </c>
      <c r="C94" s="38"/>
      <c r="D94" s="3"/>
      <c r="E94" s="38"/>
      <c r="F94" s="38"/>
      <c r="G94" s="253">
        <v>60.3</v>
      </c>
      <c r="H94" s="253"/>
      <c r="I94" s="253"/>
      <c r="J94" s="253"/>
      <c r="K94" s="46">
        <f>G94</f>
        <v>60.3</v>
      </c>
      <c r="L94" s="308" t="s">
        <v>37</v>
      </c>
      <c r="M94" s="258" t="s">
        <v>306</v>
      </c>
      <c r="N94" s="330"/>
    </row>
    <row r="95" spans="1:13" s="26" customFormat="1" ht="18">
      <c r="A95" s="20">
        <v>10</v>
      </c>
      <c r="B95" s="245" t="s">
        <v>55</v>
      </c>
      <c r="C95" s="251" t="s">
        <v>19</v>
      </c>
      <c r="D95" s="349" t="s">
        <v>20</v>
      </c>
      <c r="E95" s="350"/>
      <c r="F95" s="350"/>
      <c r="G95" s="351"/>
      <c r="H95" s="252"/>
      <c r="I95" s="252"/>
      <c r="J95" s="252"/>
      <c r="K95" s="251" t="s">
        <v>21</v>
      </c>
      <c r="L95" s="251" t="s">
        <v>22</v>
      </c>
      <c r="M95" s="235"/>
    </row>
    <row r="96" spans="1:13" s="26" customFormat="1" ht="18">
      <c r="A96" s="57"/>
      <c r="B96" s="58"/>
      <c r="C96" s="58"/>
      <c r="D96" s="62" t="s">
        <v>23</v>
      </c>
      <c r="E96" s="63" t="s">
        <v>24</v>
      </c>
      <c r="F96" s="62" t="s">
        <v>29</v>
      </c>
      <c r="G96" s="62" t="s">
        <v>30</v>
      </c>
      <c r="H96" s="62" t="s">
        <v>35</v>
      </c>
      <c r="I96" s="62" t="s">
        <v>31</v>
      </c>
      <c r="J96" s="62"/>
      <c r="K96" s="61"/>
      <c r="L96" s="61"/>
      <c r="M96" s="235"/>
    </row>
    <row r="97" spans="1:14" s="26" customFormat="1" ht="48">
      <c r="A97" s="323" t="s">
        <v>215</v>
      </c>
      <c r="B97" s="248" t="s">
        <v>621</v>
      </c>
      <c r="C97" s="256">
        <v>3</v>
      </c>
      <c r="D97" s="54"/>
      <c r="E97" s="54"/>
      <c r="F97" s="54"/>
      <c r="G97" s="54"/>
      <c r="H97" s="253"/>
      <c r="I97" s="253"/>
      <c r="J97" s="253"/>
      <c r="K97" s="46">
        <f>C97</f>
        <v>3</v>
      </c>
      <c r="L97" s="71" t="s">
        <v>38</v>
      </c>
      <c r="M97" s="236" t="s">
        <v>279</v>
      </c>
      <c r="N97" s="330"/>
    </row>
    <row r="98" spans="1:14" s="26" customFormat="1" ht="48">
      <c r="A98" s="323" t="s">
        <v>353</v>
      </c>
      <c r="B98" s="328" t="s">
        <v>622</v>
      </c>
      <c r="C98" s="256">
        <v>7</v>
      </c>
      <c r="D98" s="54"/>
      <c r="E98" s="54"/>
      <c r="F98" s="54"/>
      <c r="G98" s="54"/>
      <c r="H98" s="253"/>
      <c r="I98" s="253"/>
      <c r="J98" s="253"/>
      <c r="K98" s="46">
        <f aca="true" t="shared" si="1" ref="K98:K105">C98</f>
        <v>7</v>
      </c>
      <c r="L98" s="72" t="s">
        <v>38</v>
      </c>
      <c r="M98" s="236" t="s">
        <v>280</v>
      </c>
      <c r="N98" s="330"/>
    </row>
    <row r="99" spans="1:14" s="26" customFormat="1" ht="48">
      <c r="A99" s="323" t="s">
        <v>354</v>
      </c>
      <c r="B99" s="328" t="s">
        <v>623</v>
      </c>
      <c r="C99" s="256">
        <v>2</v>
      </c>
      <c r="D99" s="54"/>
      <c r="E99" s="54"/>
      <c r="F99" s="54"/>
      <c r="G99" s="54"/>
      <c r="H99" s="253"/>
      <c r="I99" s="253"/>
      <c r="J99" s="253"/>
      <c r="K99" s="46">
        <f t="shared" si="1"/>
        <v>2</v>
      </c>
      <c r="L99" s="72" t="s">
        <v>38</v>
      </c>
      <c r="M99" s="254" t="s">
        <v>257</v>
      </c>
      <c r="N99" s="330"/>
    </row>
    <row r="100" spans="1:14" s="26" customFormat="1" ht="24" customHeight="1">
      <c r="A100" s="323" t="s">
        <v>355</v>
      </c>
      <c r="B100" s="328" t="s">
        <v>624</v>
      </c>
      <c r="C100" s="256">
        <v>2</v>
      </c>
      <c r="D100" s="54"/>
      <c r="E100" s="54"/>
      <c r="F100" s="54"/>
      <c r="G100" s="54"/>
      <c r="H100" s="253"/>
      <c r="I100" s="253"/>
      <c r="J100" s="253"/>
      <c r="K100" s="46">
        <f t="shared" si="1"/>
        <v>2</v>
      </c>
      <c r="L100" s="72" t="s">
        <v>38</v>
      </c>
      <c r="M100" s="49" t="s">
        <v>252</v>
      </c>
      <c r="N100" s="330"/>
    </row>
    <row r="101" spans="1:14" s="26" customFormat="1" ht="48">
      <c r="A101" s="323" t="s">
        <v>356</v>
      </c>
      <c r="B101" s="328" t="s">
        <v>625</v>
      </c>
      <c r="C101" s="256">
        <v>1</v>
      </c>
      <c r="D101" s="54"/>
      <c r="E101" s="54"/>
      <c r="F101" s="54"/>
      <c r="G101" s="54"/>
      <c r="H101" s="253"/>
      <c r="I101" s="253"/>
      <c r="J101" s="253"/>
      <c r="K101" s="46">
        <f t="shared" si="1"/>
        <v>1</v>
      </c>
      <c r="L101" s="72" t="s">
        <v>38</v>
      </c>
      <c r="M101" s="254" t="s">
        <v>253</v>
      </c>
      <c r="N101" s="330"/>
    </row>
    <row r="102" spans="1:14" s="26" customFormat="1" ht="36">
      <c r="A102" s="323" t="s">
        <v>357</v>
      </c>
      <c r="B102" s="327" t="s">
        <v>251</v>
      </c>
      <c r="C102" s="256">
        <v>1</v>
      </c>
      <c r="D102" s="54"/>
      <c r="E102" s="54"/>
      <c r="F102" s="54"/>
      <c r="G102" s="54"/>
      <c r="H102" s="253"/>
      <c r="I102" s="253"/>
      <c r="J102" s="253"/>
      <c r="K102" s="46">
        <f t="shared" si="1"/>
        <v>1</v>
      </c>
      <c r="L102" s="72" t="s">
        <v>38</v>
      </c>
      <c r="M102" s="254" t="s">
        <v>254</v>
      </c>
      <c r="N102" s="330"/>
    </row>
    <row r="103" spans="1:14" s="26" customFormat="1" ht="24">
      <c r="A103" s="323" t="s">
        <v>358</v>
      </c>
      <c r="B103" s="327" t="s">
        <v>626</v>
      </c>
      <c r="C103" s="256">
        <v>1</v>
      </c>
      <c r="D103" s="54"/>
      <c r="E103" s="54"/>
      <c r="F103" s="54"/>
      <c r="G103" s="54"/>
      <c r="H103" s="253"/>
      <c r="I103" s="253"/>
      <c r="J103" s="253"/>
      <c r="K103" s="46">
        <f t="shared" si="1"/>
        <v>1</v>
      </c>
      <c r="L103" s="72" t="s">
        <v>38</v>
      </c>
      <c r="M103" s="49" t="s">
        <v>255</v>
      </c>
      <c r="N103" s="330"/>
    </row>
    <row r="104" spans="1:14" s="26" customFormat="1" ht="48">
      <c r="A104" s="323" t="s">
        <v>359</v>
      </c>
      <c r="B104" s="248" t="s">
        <v>627</v>
      </c>
      <c r="C104" s="256">
        <v>3</v>
      </c>
      <c r="D104" s="54"/>
      <c r="E104" s="54"/>
      <c r="F104" s="54"/>
      <c r="G104" s="54"/>
      <c r="H104" s="253"/>
      <c r="I104" s="253"/>
      <c r="J104" s="253"/>
      <c r="K104" s="46">
        <f t="shared" si="1"/>
        <v>3</v>
      </c>
      <c r="L104" s="72" t="s">
        <v>38</v>
      </c>
      <c r="M104" s="254" t="s">
        <v>256</v>
      </c>
      <c r="N104" s="330"/>
    </row>
    <row r="105" spans="1:14" s="26" customFormat="1" ht="24">
      <c r="A105" s="323" t="s">
        <v>360</v>
      </c>
      <c r="B105" s="328" t="s">
        <v>628</v>
      </c>
      <c r="C105" s="256">
        <f>C103+C104</f>
        <v>4</v>
      </c>
      <c r="D105" s="54"/>
      <c r="E105" s="54"/>
      <c r="F105" s="54"/>
      <c r="G105" s="54"/>
      <c r="H105" s="253"/>
      <c r="I105" s="253"/>
      <c r="J105" s="253"/>
      <c r="K105" s="46">
        <f t="shared" si="1"/>
        <v>4</v>
      </c>
      <c r="L105" s="72" t="s">
        <v>38</v>
      </c>
      <c r="M105" s="188" t="s">
        <v>258</v>
      </c>
      <c r="N105" s="330"/>
    </row>
    <row r="106" spans="1:14" s="26" customFormat="1" ht="36">
      <c r="A106" s="323" t="s">
        <v>361</v>
      </c>
      <c r="B106" s="329" t="s">
        <v>629</v>
      </c>
      <c r="C106" s="302"/>
      <c r="D106" s="303" t="s">
        <v>23</v>
      </c>
      <c r="E106" s="304" t="s">
        <v>24</v>
      </c>
      <c r="F106" s="303" t="s">
        <v>29</v>
      </c>
      <c r="G106" s="303" t="s">
        <v>30</v>
      </c>
      <c r="H106" s="303" t="s">
        <v>35</v>
      </c>
      <c r="I106" s="303" t="s">
        <v>31</v>
      </c>
      <c r="J106" s="303"/>
      <c r="K106" s="46">
        <f>SUM(K107:K108)</f>
        <v>30.099999999999998</v>
      </c>
      <c r="L106" s="305" t="s">
        <v>37</v>
      </c>
      <c r="M106" s="49" t="s">
        <v>277</v>
      </c>
      <c r="N106" s="330"/>
    </row>
    <row r="107" spans="1:14" s="26" customFormat="1" ht="15">
      <c r="A107" s="247"/>
      <c r="B107" s="328" t="s">
        <v>275</v>
      </c>
      <c r="C107" s="256">
        <v>13</v>
      </c>
      <c r="D107" s="256">
        <v>1</v>
      </c>
      <c r="E107" s="256">
        <v>1.7</v>
      </c>
      <c r="F107" s="54"/>
      <c r="G107" s="256">
        <f>D107*E107</f>
        <v>1.7</v>
      </c>
      <c r="H107" s="253"/>
      <c r="I107" s="253"/>
      <c r="J107" s="253"/>
      <c r="K107" s="38">
        <f>C107*G107</f>
        <v>22.099999999999998</v>
      </c>
      <c r="L107" s="72" t="s">
        <v>37</v>
      </c>
      <c r="M107" s="49"/>
      <c r="N107" s="330"/>
    </row>
    <row r="108" spans="1:14" s="26" customFormat="1" ht="15">
      <c r="A108" s="247"/>
      <c r="B108" s="328" t="s">
        <v>276</v>
      </c>
      <c r="C108" s="256">
        <v>8</v>
      </c>
      <c r="D108" s="256">
        <v>1</v>
      </c>
      <c r="E108" s="256">
        <v>1</v>
      </c>
      <c r="F108" s="54"/>
      <c r="G108" s="256">
        <f>D108*E108</f>
        <v>1</v>
      </c>
      <c r="H108" s="253"/>
      <c r="I108" s="253"/>
      <c r="J108" s="253"/>
      <c r="K108" s="38">
        <f>C108*G108</f>
        <v>8</v>
      </c>
      <c r="L108" s="72" t="s">
        <v>37</v>
      </c>
      <c r="M108" s="49"/>
      <c r="N108" s="330"/>
    </row>
    <row r="109" spans="1:14" s="26" customFormat="1" ht="24">
      <c r="A109" s="323" t="s">
        <v>375</v>
      </c>
      <c r="B109" s="327" t="s">
        <v>630</v>
      </c>
      <c r="C109" s="256"/>
      <c r="D109" s="256"/>
      <c r="E109" s="256"/>
      <c r="F109" s="256">
        <v>21</v>
      </c>
      <c r="G109" s="256"/>
      <c r="H109" s="38"/>
      <c r="I109" s="38"/>
      <c r="J109" s="38"/>
      <c r="K109" s="46">
        <v>21</v>
      </c>
      <c r="L109" s="285" t="s">
        <v>54</v>
      </c>
      <c r="M109" s="49"/>
      <c r="N109" s="330"/>
    </row>
    <row r="110" spans="1:13" s="26" customFormat="1" ht="18">
      <c r="A110" s="20">
        <v>11</v>
      </c>
      <c r="B110" s="245" t="s">
        <v>401</v>
      </c>
      <c r="C110" s="251" t="s">
        <v>19</v>
      </c>
      <c r="D110" s="349" t="s">
        <v>20</v>
      </c>
      <c r="E110" s="350"/>
      <c r="F110" s="350"/>
      <c r="G110" s="351"/>
      <c r="H110" s="252"/>
      <c r="I110" s="252"/>
      <c r="J110" s="252"/>
      <c r="K110" s="251" t="s">
        <v>21</v>
      </c>
      <c r="L110" s="251" t="s">
        <v>22</v>
      </c>
      <c r="M110" s="235"/>
    </row>
    <row r="111" spans="1:14" s="26" customFormat="1" ht="24">
      <c r="A111" s="326" t="s">
        <v>216</v>
      </c>
      <c r="B111" s="306" t="s">
        <v>631</v>
      </c>
      <c r="C111" s="261"/>
      <c r="D111" s="259" t="s">
        <v>23</v>
      </c>
      <c r="E111" s="260" t="s">
        <v>24</v>
      </c>
      <c r="F111" s="259" t="s">
        <v>29</v>
      </c>
      <c r="G111" s="259" t="s">
        <v>30</v>
      </c>
      <c r="H111" s="259" t="s">
        <v>35</v>
      </c>
      <c r="I111" s="259" t="s">
        <v>31</v>
      </c>
      <c r="J111" s="259"/>
      <c r="K111" s="263">
        <f>SUM(K112:K114)</f>
        <v>25.498</v>
      </c>
      <c r="L111" s="262" t="s">
        <v>37</v>
      </c>
      <c r="M111" s="188" t="s">
        <v>259</v>
      </c>
      <c r="N111" s="330"/>
    </row>
    <row r="112" spans="1:14" s="26" customFormat="1" ht="15">
      <c r="A112" s="247"/>
      <c r="B112" s="249" t="s">
        <v>285</v>
      </c>
      <c r="C112" s="256">
        <v>13</v>
      </c>
      <c r="D112" s="256">
        <v>0.75</v>
      </c>
      <c r="E112" s="256">
        <v>1.6</v>
      </c>
      <c r="F112" s="54"/>
      <c r="G112" s="256">
        <f>D112*E112</f>
        <v>1.2000000000000002</v>
      </c>
      <c r="H112" s="253"/>
      <c r="I112" s="253"/>
      <c r="J112" s="253"/>
      <c r="K112" s="38">
        <f>C112*G112</f>
        <v>15.600000000000001</v>
      </c>
      <c r="L112" s="72" t="s">
        <v>37</v>
      </c>
      <c r="M112" s="188"/>
      <c r="N112" s="330"/>
    </row>
    <row r="113" spans="1:14" s="26" customFormat="1" ht="24">
      <c r="A113" s="247"/>
      <c r="B113" s="249" t="s">
        <v>283</v>
      </c>
      <c r="C113" s="256">
        <v>8</v>
      </c>
      <c r="D113" s="256">
        <v>0.75</v>
      </c>
      <c r="E113" s="256">
        <v>1</v>
      </c>
      <c r="F113" s="248"/>
      <c r="G113" s="256">
        <f>D113*E113</f>
        <v>0.75</v>
      </c>
      <c r="H113" s="253"/>
      <c r="I113" s="253"/>
      <c r="J113" s="253"/>
      <c r="K113" s="38">
        <f>C113*G113</f>
        <v>6</v>
      </c>
      <c r="L113" s="246" t="s">
        <v>37</v>
      </c>
      <c r="M113" s="99" t="s">
        <v>286</v>
      </c>
      <c r="N113" s="330"/>
    </row>
    <row r="114" spans="1:14" s="26" customFormat="1" ht="24">
      <c r="A114" s="247"/>
      <c r="B114" s="249" t="s">
        <v>284</v>
      </c>
      <c r="C114" s="256">
        <v>3</v>
      </c>
      <c r="D114" s="256">
        <v>1.6</v>
      </c>
      <c r="E114" s="256">
        <v>0.81</v>
      </c>
      <c r="F114" s="248"/>
      <c r="G114" s="256">
        <f>D114*E114</f>
        <v>1.2960000000000003</v>
      </c>
      <c r="H114" s="253"/>
      <c r="I114" s="253"/>
      <c r="J114" s="253"/>
      <c r="K114" s="38">
        <f>(C114*G114)+0.01</f>
        <v>3.8980000000000006</v>
      </c>
      <c r="L114" s="246" t="s">
        <v>37</v>
      </c>
      <c r="M114" s="99" t="s">
        <v>287</v>
      </c>
      <c r="N114" s="330"/>
    </row>
    <row r="115" spans="1:13" s="26" customFormat="1" ht="24" customHeight="1">
      <c r="A115" s="20">
        <v>12</v>
      </c>
      <c r="B115" s="245" t="s">
        <v>400</v>
      </c>
      <c r="C115" s="251" t="s">
        <v>19</v>
      </c>
      <c r="D115" s="349" t="s">
        <v>20</v>
      </c>
      <c r="E115" s="350"/>
      <c r="F115" s="350"/>
      <c r="G115" s="351"/>
      <c r="H115" s="252"/>
      <c r="I115" s="252"/>
      <c r="J115" s="252"/>
      <c r="K115" s="251" t="s">
        <v>21</v>
      </c>
      <c r="L115" s="251" t="s">
        <v>22</v>
      </c>
      <c r="M115" s="235"/>
    </row>
    <row r="116" spans="1:13" s="26" customFormat="1" ht="18">
      <c r="A116" s="57"/>
      <c r="B116" s="58"/>
      <c r="C116" s="58"/>
      <c r="D116" s="62" t="s">
        <v>23</v>
      </c>
      <c r="E116" s="63" t="s">
        <v>24</v>
      </c>
      <c r="F116" s="62" t="s">
        <v>29</v>
      </c>
      <c r="G116" s="62" t="s">
        <v>30</v>
      </c>
      <c r="H116" s="62" t="s">
        <v>35</v>
      </c>
      <c r="I116" s="62" t="s">
        <v>31</v>
      </c>
      <c r="J116" s="62"/>
      <c r="K116" s="61"/>
      <c r="L116" s="61"/>
      <c r="M116" s="235"/>
    </row>
    <row r="117" spans="1:14" s="26" customFormat="1" ht="25.5">
      <c r="A117" s="323" t="s">
        <v>217</v>
      </c>
      <c r="B117" s="248" t="s">
        <v>632</v>
      </c>
      <c r="C117" s="248"/>
      <c r="D117" s="248"/>
      <c r="E117" s="54"/>
      <c r="F117" s="54"/>
      <c r="G117" s="256">
        <v>857.6</v>
      </c>
      <c r="H117" s="253"/>
      <c r="I117" s="253"/>
      <c r="J117" s="253"/>
      <c r="K117" s="38">
        <v>857.6</v>
      </c>
      <c r="L117" s="246" t="s">
        <v>37</v>
      </c>
      <c r="M117" s="257" t="s">
        <v>313</v>
      </c>
      <c r="N117" s="330"/>
    </row>
    <row r="118" spans="1:14" s="26" customFormat="1" ht="37.5" customHeight="1">
      <c r="A118" s="323" t="s">
        <v>218</v>
      </c>
      <c r="B118" s="248" t="s">
        <v>633</v>
      </c>
      <c r="C118" s="248"/>
      <c r="D118" s="248"/>
      <c r="E118" s="54"/>
      <c r="F118" s="54"/>
      <c r="G118" s="272">
        <f>G117</f>
        <v>857.6</v>
      </c>
      <c r="H118" s="253"/>
      <c r="I118" s="253"/>
      <c r="J118" s="253"/>
      <c r="K118" s="38">
        <f>G118</f>
        <v>857.6</v>
      </c>
      <c r="L118" s="246" t="s">
        <v>37</v>
      </c>
      <c r="M118" s="236" t="s">
        <v>314</v>
      </c>
      <c r="N118" s="330"/>
    </row>
    <row r="119" spans="1:14" s="26" customFormat="1" ht="25.5" customHeight="1">
      <c r="A119" s="323" t="s">
        <v>219</v>
      </c>
      <c r="B119" s="248" t="s">
        <v>634</v>
      </c>
      <c r="C119" s="54"/>
      <c r="D119" s="54"/>
      <c r="E119" s="54"/>
      <c r="F119" s="54"/>
      <c r="G119" s="272">
        <v>62.7</v>
      </c>
      <c r="H119" s="253"/>
      <c r="I119" s="253"/>
      <c r="J119" s="253"/>
      <c r="K119" s="38">
        <f>G119</f>
        <v>62.7</v>
      </c>
      <c r="L119" s="246" t="s">
        <v>37</v>
      </c>
      <c r="M119" s="236" t="s">
        <v>315</v>
      </c>
      <c r="N119" s="330"/>
    </row>
    <row r="120" spans="1:14" s="26" customFormat="1" ht="38.25">
      <c r="A120" s="323" t="s">
        <v>220</v>
      </c>
      <c r="B120" s="248" t="s">
        <v>635</v>
      </c>
      <c r="C120" s="54"/>
      <c r="D120" s="54"/>
      <c r="E120" s="54"/>
      <c r="F120" s="54"/>
      <c r="G120" s="272">
        <v>62.7</v>
      </c>
      <c r="H120" s="253"/>
      <c r="I120" s="253"/>
      <c r="J120" s="253"/>
      <c r="K120" s="38">
        <f>G120</f>
        <v>62.7</v>
      </c>
      <c r="L120" s="246" t="s">
        <v>37</v>
      </c>
      <c r="M120" s="236" t="s">
        <v>316</v>
      </c>
      <c r="N120" s="330"/>
    </row>
    <row r="121" spans="1:14" s="26" customFormat="1" ht="42" customHeight="1">
      <c r="A121" s="323" t="s">
        <v>221</v>
      </c>
      <c r="B121" s="248" t="s">
        <v>636</v>
      </c>
      <c r="C121" s="54"/>
      <c r="D121" s="54"/>
      <c r="E121" s="54"/>
      <c r="F121" s="54"/>
      <c r="G121" s="272">
        <v>42.3</v>
      </c>
      <c r="H121" s="253"/>
      <c r="I121" s="253"/>
      <c r="J121" s="253"/>
      <c r="K121" s="38">
        <f>G121</f>
        <v>42.3</v>
      </c>
      <c r="L121" s="246" t="s">
        <v>37</v>
      </c>
      <c r="M121" s="236" t="s">
        <v>317</v>
      </c>
      <c r="N121" s="330"/>
    </row>
    <row r="122" spans="1:14" s="26" customFormat="1" ht="36">
      <c r="A122" s="323" t="s">
        <v>222</v>
      </c>
      <c r="B122" s="248" t="s">
        <v>637</v>
      </c>
      <c r="C122" s="54"/>
      <c r="D122" s="54"/>
      <c r="E122" s="54"/>
      <c r="F122" s="54"/>
      <c r="G122" s="272">
        <v>42.3</v>
      </c>
      <c r="H122" s="253"/>
      <c r="I122" s="253"/>
      <c r="J122" s="253"/>
      <c r="K122" s="38">
        <f>G122</f>
        <v>42.3</v>
      </c>
      <c r="L122" s="246" t="s">
        <v>37</v>
      </c>
      <c r="M122" s="236" t="s">
        <v>318</v>
      </c>
      <c r="N122" s="330"/>
    </row>
    <row r="123" spans="1:13" s="26" customFormat="1" ht="18">
      <c r="A123" s="20">
        <v>13</v>
      </c>
      <c r="B123" s="245" t="s">
        <v>399</v>
      </c>
      <c r="C123" s="251" t="s">
        <v>19</v>
      </c>
      <c r="D123" s="349" t="s">
        <v>20</v>
      </c>
      <c r="E123" s="350"/>
      <c r="F123" s="350"/>
      <c r="G123" s="351"/>
      <c r="H123" s="252"/>
      <c r="I123" s="252"/>
      <c r="J123" s="252"/>
      <c r="K123" s="251" t="s">
        <v>21</v>
      </c>
      <c r="L123" s="251" t="s">
        <v>22</v>
      </c>
      <c r="M123" s="255"/>
    </row>
    <row r="124" spans="1:13" s="26" customFormat="1" ht="15">
      <c r="A124" s="57"/>
      <c r="B124" s="58"/>
      <c r="C124" s="291" t="s">
        <v>19</v>
      </c>
      <c r="D124" s="62" t="s">
        <v>23</v>
      </c>
      <c r="E124" s="63" t="s">
        <v>24</v>
      </c>
      <c r="F124" s="62" t="s">
        <v>29</v>
      </c>
      <c r="G124" s="62" t="s">
        <v>30</v>
      </c>
      <c r="H124" s="62" t="s">
        <v>35</v>
      </c>
      <c r="I124" s="62" t="s">
        <v>31</v>
      </c>
      <c r="J124" s="62"/>
      <c r="K124" s="61"/>
      <c r="L124" s="61"/>
      <c r="M124" s="255"/>
    </row>
    <row r="125" spans="1:14" s="26" customFormat="1" ht="31.5" customHeight="1">
      <c r="A125" s="323" t="s">
        <v>223</v>
      </c>
      <c r="B125" s="248" t="s">
        <v>639</v>
      </c>
      <c r="C125" s="256">
        <v>4</v>
      </c>
      <c r="D125" s="54"/>
      <c r="E125" s="54"/>
      <c r="F125" s="54"/>
      <c r="G125" s="54"/>
      <c r="H125" s="253"/>
      <c r="I125" s="253"/>
      <c r="J125" s="253"/>
      <c r="K125" s="46">
        <f>C125</f>
        <v>4</v>
      </c>
      <c r="L125" s="72" t="s">
        <v>38</v>
      </c>
      <c r="M125" s="258" t="s">
        <v>266</v>
      </c>
      <c r="N125" s="330"/>
    </row>
    <row r="126" spans="1:14" s="26" customFormat="1" ht="18.75" customHeight="1">
      <c r="A126" s="323" t="s">
        <v>224</v>
      </c>
      <c r="B126" s="248" t="s">
        <v>640</v>
      </c>
      <c r="C126" s="256">
        <v>4</v>
      </c>
      <c r="D126" s="54"/>
      <c r="E126" s="54"/>
      <c r="F126" s="54"/>
      <c r="G126" s="54"/>
      <c r="H126" s="253"/>
      <c r="I126" s="253"/>
      <c r="J126" s="253"/>
      <c r="K126" s="46">
        <f aca="true" t="shared" si="2" ref="K126:K137">C126</f>
        <v>4</v>
      </c>
      <c r="L126" s="72" t="s">
        <v>38</v>
      </c>
      <c r="M126" s="236" t="s">
        <v>267</v>
      </c>
      <c r="N126" s="330"/>
    </row>
    <row r="127" spans="1:14" s="26" customFormat="1" ht="36">
      <c r="A127" s="323" t="s">
        <v>225</v>
      </c>
      <c r="B127" s="248" t="s">
        <v>638</v>
      </c>
      <c r="C127" s="256">
        <v>4</v>
      </c>
      <c r="D127" s="54"/>
      <c r="E127" s="54"/>
      <c r="F127" s="54"/>
      <c r="G127" s="54"/>
      <c r="H127" s="253"/>
      <c r="I127" s="253"/>
      <c r="J127" s="253"/>
      <c r="K127" s="46">
        <f t="shared" si="2"/>
        <v>4</v>
      </c>
      <c r="L127" s="72" t="s">
        <v>38</v>
      </c>
      <c r="M127" s="236" t="s">
        <v>265</v>
      </c>
      <c r="N127" s="330"/>
    </row>
    <row r="128" spans="1:14" s="26" customFormat="1" ht="24">
      <c r="A128" s="323" t="s">
        <v>226</v>
      </c>
      <c r="B128" s="248" t="s">
        <v>641</v>
      </c>
      <c r="C128" s="256">
        <v>2</v>
      </c>
      <c r="D128" s="54"/>
      <c r="E128" s="54"/>
      <c r="F128" s="54"/>
      <c r="G128" s="54"/>
      <c r="H128" s="253"/>
      <c r="I128" s="253"/>
      <c r="J128" s="253"/>
      <c r="K128" s="46">
        <f t="shared" si="2"/>
        <v>2</v>
      </c>
      <c r="L128" s="72" t="s">
        <v>38</v>
      </c>
      <c r="M128" s="236" t="s">
        <v>268</v>
      </c>
      <c r="N128" s="330"/>
    </row>
    <row r="129" spans="1:14" s="26" customFormat="1" ht="24">
      <c r="A129" s="323" t="s">
        <v>227</v>
      </c>
      <c r="B129" s="248" t="s">
        <v>642</v>
      </c>
      <c r="C129" s="256">
        <v>2</v>
      </c>
      <c r="D129" s="54"/>
      <c r="E129" s="54"/>
      <c r="F129" s="54"/>
      <c r="G129" s="54"/>
      <c r="H129" s="253"/>
      <c r="I129" s="253"/>
      <c r="J129" s="253"/>
      <c r="K129" s="46">
        <f t="shared" si="2"/>
        <v>2</v>
      </c>
      <c r="L129" s="72" t="s">
        <v>38</v>
      </c>
      <c r="M129" s="236" t="s">
        <v>269</v>
      </c>
      <c r="N129" s="330"/>
    </row>
    <row r="130" spans="1:14" s="26" customFormat="1" ht="24">
      <c r="A130" s="323" t="s">
        <v>362</v>
      </c>
      <c r="B130" s="248" t="s">
        <v>427</v>
      </c>
      <c r="C130" s="256">
        <v>4</v>
      </c>
      <c r="D130" s="54"/>
      <c r="E130" s="54"/>
      <c r="F130" s="54"/>
      <c r="G130" s="54"/>
      <c r="H130" s="253"/>
      <c r="I130" s="253"/>
      <c r="J130" s="253"/>
      <c r="K130" s="46">
        <f t="shared" si="2"/>
        <v>4</v>
      </c>
      <c r="L130" s="72" t="s">
        <v>38</v>
      </c>
      <c r="M130" s="236" t="s">
        <v>270</v>
      </c>
      <c r="N130" s="330"/>
    </row>
    <row r="131" spans="1:14" s="26" customFormat="1" ht="24">
      <c r="A131" s="323" t="s">
        <v>363</v>
      </c>
      <c r="B131" s="342" t="s">
        <v>643</v>
      </c>
      <c r="C131" s="256">
        <v>1</v>
      </c>
      <c r="D131" s="54"/>
      <c r="E131" s="54"/>
      <c r="F131" s="54"/>
      <c r="G131" s="54"/>
      <c r="H131" s="253"/>
      <c r="I131" s="253"/>
      <c r="J131" s="253"/>
      <c r="K131" s="46">
        <f t="shared" si="2"/>
        <v>1</v>
      </c>
      <c r="L131" s="72" t="s">
        <v>38</v>
      </c>
      <c r="M131" s="236" t="s">
        <v>271</v>
      </c>
      <c r="N131" s="330"/>
    </row>
    <row r="132" spans="1:14" s="26" customFormat="1" ht="24">
      <c r="A132" s="323" t="s">
        <v>364</v>
      </c>
      <c r="B132" s="248" t="s">
        <v>644</v>
      </c>
      <c r="C132" s="256">
        <v>1</v>
      </c>
      <c r="D132" s="54"/>
      <c r="E132" s="54"/>
      <c r="F132" s="54"/>
      <c r="G132" s="54"/>
      <c r="H132" s="253"/>
      <c r="I132" s="253"/>
      <c r="J132" s="253"/>
      <c r="K132" s="46">
        <f t="shared" si="2"/>
        <v>1</v>
      </c>
      <c r="L132" s="72" t="s">
        <v>38</v>
      </c>
      <c r="M132" s="236" t="s">
        <v>272</v>
      </c>
      <c r="N132" s="330"/>
    </row>
    <row r="133" spans="1:14" s="26" customFormat="1" ht="24">
      <c r="A133" s="323" t="s">
        <v>365</v>
      </c>
      <c r="B133" s="248" t="s">
        <v>645</v>
      </c>
      <c r="C133" s="256">
        <v>1</v>
      </c>
      <c r="D133" s="54"/>
      <c r="E133" s="54"/>
      <c r="F133" s="54"/>
      <c r="G133" s="54"/>
      <c r="H133" s="253"/>
      <c r="I133" s="253"/>
      <c r="J133" s="253"/>
      <c r="K133" s="46">
        <f t="shared" si="2"/>
        <v>1</v>
      </c>
      <c r="L133" s="72" t="s">
        <v>38</v>
      </c>
      <c r="M133" s="236" t="s">
        <v>273</v>
      </c>
      <c r="N133" s="330"/>
    </row>
    <row r="134" spans="1:14" s="26" customFormat="1" ht="20.25" customHeight="1">
      <c r="A134" s="323" t="s">
        <v>366</v>
      </c>
      <c r="B134" s="248" t="s">
        <v>646</v>
      </c>
      <c r="C134" s="256">
        <f>1+4</f>
        <v>5</v>
      </c>
      <c r="D134" s="54"/>
      <c r="E134" s="54"/>
      <c r="F134" s="54"/>
      <c r="G134" s="54"/>
      <c r="H134" s="253"/>
      <c r="I134" s="253"/>
      <c r="J134" s="253"/>
      <c r="K134" s="46">
        <f t="shared" si="2"/>
        <v>5</v>
      </c>
      <c r="L134" s="72" t="s">
        <v>38</v>
      </c>
      <c r="M134" s="258" t="s">
        <v>319</v>
      </c>
      <c r="N134" s="330"/>
    </row>
    <row r="135" spans="1:14" s="26" customFormat="1" ht="24">
      <c r="A135" s="323" t="s">
        <v>367</v>
      </c>
      <c r="B135" s="248" t="s">
        <v>647</v>
      </c>
      <c r="C135" s="256">
        <v>2</v>
      </c>
      <c r="D135" s="54"/>
      <c r="E135" s="54"/>
      <c r="F135" s="54"/>
      <c r="G135" s="54"/>
      <c r="H135" s="253"/>
      <c r="I135" s="253"/>
      <c r="J135" s="253"/>
      <c r="K135" s="46">
        <f t="shared" si="2"/>
        <v>2</v>
      </c>
      <c r="L135" s="72" t="s">
        <v>38</v>
      </c>
      <c r="M135" s="236" t="s">
        <v>274</v>
      </c>
      <c r="N135" s="330"/>
    </row>
    <row r="136" spans="1:14" s="26" customFormat="1" ht="24">
      <c r="A136" s="323" t="s">
        <v>368</v>
      </c>
      <c r="B136" s="248" t="s">
        <v>648</v>
      </c>
      <c r="C136" s="256">
        <v>4</v>
      </c>
      <c r="D136" s="54"/>
      <c r="E136" s="54"/>
      <c r="F136" s="54"/>
      <c r="G136" s="54"/>
      <c r="H136" s="253"/>
      <c r="I136" s="253"/>
      <c r="J136" s="253"/>
      <c r="K136" s="46">
        <f t="shared" si="2"/>
        <v>4</v>
      </c>
      <c r="L136" s="72" t="s">
        <v>38</v>
      </c>
      <c r="M136" s="236" t="s">
        <v>260</v>
      </c>
      <c r="N136" s="330"/>
    </row>
    <row r="137" spans="1:14" s="26" customFormat="1" ht="21" customHeight="1">
      <c r="A137" s="323" t="s">
        <v>369</v>
      </c>
      <c r="B137" s="248" t="s">
        <v>649</v>
      </c>
      <c r="C137" s="256">
        <v>4</v>
      </c>
      <c r="D137" s="54"/>
      <c r="E137" s="54"/>
      <c r="F137" s="54"/>
      <c r="G137" s="54"/>
      <c r="H137" s="253"/>
      <c r="I137" s="253"/>
      <c r="J137" s="253"/>
      <c r="K137" s="46">
        <f t="shared" si="2"/>
        <v>4</v>
      </c>
      <c r="L137" s="72" t="s">
        <v>38</v>
      </c>
      <c r="M137" s="236" t="s">
        <v>261</v>
      </c>
      <c r="N137" s="330"/>
    </row>
    <row r="138" spans="1:13" ht="21" customHeight="1">
      <c r="A138" s="20">
        <v>14</v>
      </c>
      <c r="B138" s="21" t="s">
        <v>1</v>
      </c>
      <c r="C138" s="22" t="s">
        <v>19</v>
      </c>
      <c r="D138" s="344" t="s">
        <v>20</v>
      </c>
      <c r="E138" s="345"/>
      <c r="F138" s="345"/>
      <c r="G138" s="346"/>
      <c r="H138" s="23"/>
      <c r="I138" s="23"/>
      <c r="J138" s="23"/>
      <c r="K138" s="22" t="s">
        <v>21</v>
      </c>
      <c r="L138" s="22" t="s">
        <v>22</v>
      </c>
      <c r="M138" s="24"/>
    </row>
    <row r="139" spans="1:14" s="60" customFormat="1" ht="15">
      <c r="A139" s="293"/>
      <c r="B139" s="74"/>
      <c r="C139" s="293" t="s">
        <v>19</v>
      </c>
      <c r="D139" s="75" t="s">
        <v>23</v>
      </c>
      <c r="E139" s="76" t="s">
        <v>24</v>
      </c>
      <c r="F139" s="75" t="s">
        <v>29</v>
      </c>
      <c r="G139" s="75" t="s">
        <v>30</v>
      </c>
      <c r="H139" s="75" t="s">
        <v>35</v>
      </c>
      <c r="I139" s="75" t="s">
        <v>31</v>
      </c>
      <c r="J139" s="75"/>
      <c r="K139" s="77"/>
      <c r="L139" s="77"/>
      <c r="M139" s="59"/>
      <c r="N139" s="297"/>
    </row>
    <row r="140" spans="1:14" ht="27">
      <c r="A140" s="323" t="s">
        <v>229</v>
      </c>
      <c r="B140" s="54" t="s">
        <v>650</v>
      </c>
      <c r="C140" s="3"/>
      <c r="D140" s="3"/>
      <c r="E140" s="3"/>
      <c r="F140" s="256">
        <f>'CALCULO HIDRO'!B18</f>
        <v>67.13</v>
      </c>
      <c r="G140" s="3"/>
      <c r="H140" s="3"/>
      <c r="I140" s="3"/>
      <c r="J140" s="3"/>
      <c r="K140" s="66">
        <f>F140</f>
        <v>67.13</v>
      </c>
      <c r="L140" s="278" t="s">
        <v>39</v>
      </c>
      <c r="M140" s="211" t="s">
        <v>49</v>
      </c>
      <c r="N140" s="330"/>
    </row>
    <row r="141" spans="1:14" ht="29.25">
      <c r="A141" s="323" t="s">
        <v>230</v>
      </c>
      <c r="B141" s="54" t="s">
        <v>651</v>
      </c>
      <c r="C141" s="2"/>
      <c r="D141" s="2"/>
      <c r="E141" s="2"/>
      <c r="F141" s="256">
        <f>'CALCULO HIDRO'!K26</f>
        <v>26.7</v>
      </c>
      <c r="G141" s="2"/>
      <c r="H141" s="2"/>
      <c r="I141" s="2"/>
      <c r="J141" s="2"/>
      <c r="K141" s="66">
        <f>F141</f>
        <v>26.7</v>
      </c>
      <c r="L141" s="278" t="s">
        <v>39</v>
      </c>
      <c r="M141" s="228" t="s">
        <v>201</v>
      </c>
      <c r="N141" s="330"/>
    </row>
    <row r="142" spans="1:14" ht="40.5">
      <c r="A142" s="323" t="s">
        <v>231</v>
      </c>
      <c r="B142" s="54" t="s">
        <v>652</v>
      </c>
      <c r="C142" s="2"/>
      <c r="D142" s="2"/>
      <c r="E142" s="2"/>
      <c r="F142" s="256">
        <f>'CALCULO HIDRO'!C26</f>
        <v>5.4</v>
      </c>
      <c r="G142" s="2"/>
      <c r="H142" s="2"/>
      <c r="I142" s="2"/>
      <c r="J142" s="2"/>
      <c r="K142" s="66">
        <f>F142</f>
        <v>5.4</v>
      </c>
      <c r="L142" s="278" t="s">
        <v>39</v>
      </c>
      <c r="M142" s="228" t="s">
        <v>201</v>
      </c>
      <c r="N142" s="330"/>
    </row>
    <row r="143" spans="1:14" ht="43.5">
      <c r="A143" s="323" t="s">
        <v>232</v>
      </c>
      <c r="B143" s="54" t="s">
        <v>653</v>
      </c>
      <c r="C143" s="256">
        <f>'CALCULO HIDRO'!D18</f>
        <v>23</v>
      </c>
      <c r="D143" s="2"/>
      <c r="E143" s="2"/>
      <c r="F143" s="2"/>
      <c r="G143" s="2"/>
      <c r="H143" s="2"/>
      <c r="I143" s="2"/>
      <c r="J143" s="2"/>
      <c r="K143" s="66">
        <f aca="true" t="shared" si="3" ref="K143:K157">C143</f>
        <v>23</v>
      </c>
      <c r="L143" s="72" t="s">
        <v>38</v>
      </c>
      <c r="M143" s="228" t="s">
        <v>202</v>
      </c>
      <c r="N143" s="330"/>
    </row>
    <row r="144" spans="1:14" ht="29.25">
      <c r="A144" s="323" t="s">
        <v>409</v>
      </c>
      <c r="B144" s="54" t="s">
        <v>654</v>
      </c>
      <c r="C144" s="256">
        <f>'CALCULO HIDRO'!M26</f>
        <v>4</v>
      </c>
      <c r="D144" s="2"/>
      <c r="E144" s="2"/>
      <c r="F144" s="2"/>
      <c r="G144" s="2"/>
      <c r="H144" s="2"/>
      <c r="I144" s="2"/>
      <c r="J144" s="2"/>
      <c r="K144" s="66">
        <f t="shared" si="3"/>
        <v>4</v>
      </c>
      <c r="L144" s="72" t="s">
        <v>38</v>
      </c>
      <c r="M144" s="228" t="s">
        <v>201</v>
      </c>
      <c r="N144" s="330"/>
    </row>
    <row r="145" spans="1:14" s="84" customFormat="1" ht="29.25">
      <c r="A145" s="323" t="s">
        <v>428</v>
      </c>
      <c r="B145" s="90" t="s">
        <v>655</v>
      </c>
      <c r="C145" s="256">
        <f>'CALCULO HIDRO'!O26</f>
        <v>3</v>
      </c>
      <c r="D145" s="2"/>
      <c r="E145" s="2"/>
      <c r="F145" s="2"/>
      <c r="G145" s="2"/>
      <c r="H145" s="2"/>
      <c r="I145" s="2"/>
      <c r="J145" s="2"/>
      <c r="K145" s="66">
        <f t="shared" si="3"/>
        <v>3</v>
      </c>
      <c r="L145" s="72" t="s">
        <v>38</v>
      </c>
      <c r="M145" s="228" t="s">
        <v>201</v>
      </c>
      <c r="N145" s="330"/>
    </row>
    <row r="146" spans="1:14" ht="29.25">
      <c r="A146" s="323" t="s">
        <v>429</v>
      </c>
      <c r="B146" s="54" t="s">
        <v>656</v>
      </c>
      <c r="C146" s="256">
        <f>'CALCULO HIDRO'!G26</f>
        <v>2</v>
      </c>
      <c r="D146" s="2"/>
      <c r="E146" s="2"/>
      <c r="F146" s="2"/>
      <c r="G146" s="2"/>
      <c r="H146" s="2"/>
      <c r="I146" s="2"/>
      <c r="J146" s="2"/>
      <c r="K146" s="66">
        <f>C146</f>
        <v>2</v>
      </c>
      <c r="L146" s="72" t="s">
        <v>38</v>
      </c>
      <c r="M146" s="228" t="s">
        <v>201</v>
      </c>
      <c r="N146" s="330"/>
    </row>
    <row r="147" spans="1:14" ht="29.25">
      <c r="A147" s="323" t="s">
        <v>430</v>
      </c>
      <c r="B147" s="54" t="s">
        <v>657</v>
      </c>
      <c r="C147" s="256">
        <f>'CALCULO HIDRO'!M28+'CALCULO HIDRO'!P28</f>
        <v>6</v>
      </c>
      <c r="D147" s="2"/>
      <c r="E147" s="2"/>
      <c r="F147" s="2"/>
      <c r="G147" s="2"/>
      <c r="H147" s="2"/>
      <c r="I147" s="2"/>
      <c r="J147" s="2"/>
      <c r="K147" s="66">
        <f t="shared" si="3"/>
        <v>6</v>
      </c>
      <c r="L147" s="72" t="s">
        <v>38</v>
      </c>
      <c r="M147" s="228" t="s">
        <v>203</v>
      </c>
      <c r="N147" s="330"/>
    </row>
    <row r="148" spans="1:14" ht="29.25">
      <c r="A148" s="323" t="s">
        <v>431</v>
      </c>
      <c r="B148" s="54" t="s">
        <v>658</v>
      </c>
      <c r="C148" s="256">
        <f>'CALCULO HIDRO'!G28</f>
        <v>2</v>
      </c>
      <c r="D148" s="2"/>
      <c r="E148" s="2"/>
      <c r="F148" s="2"/>
      <c r="G148" s="2"/>
      <c r="H148" s="2"/>
      <c r="I148" s="2"/>
      <c r="J148" s="2"/>
      <c r="K148" s="66">
        <f t="shared" si="3"/>
        <v>2</v>
      </c>
      <c r="L148" s="72" t="s">
        <v>38</v>
      </c>
      <c r="M148" s="228" t="s">
        <v>201</v>
      </c>
      <c r="N148" s="330"/>
    </row>
    <row r="149" spans="1:14" ht="43.5">
      <c r="A149" s="323" t="s">
        <v>432</v>
      </c>
      <c r="B149" s="54" t="s">
        <v>659</v>
      </c>
      <c r="C149" s="256">
        <f>'CALCULO HIDRO'!F18</f>
        <v>9</v>
      </c>
      <c r="D149" s="2"/>
      <c r="E149" s="2"/>
      <c r="F149" s="2"/>
      <c r="G149" s="2"/>
      <c r="H149" s="2"/>
      <c r="I149" s="2"/>
      <c r="J149" s="2"/>
      <c r="K149" s="66">
        <f t="shared" si="3"/>
        <v>9</v>
      </c>
      <c r="L149" s="72" t="s">
        <v>38</v>
      </c>
      <c r="M149" s="228" t="s">
        <v>204</v>
      </c>
      <c r="N149" s="330"/>
    </row>
    <row r="150" spans="1:14" ht="27.75">
      <c r="A150" s="323" t="s">
        <v>433</v>
      </c>
      <c r="B150" s="54" t="s">
        <v>660</v>
      </c>
      <c r="C150" s="256">
        <f>'CALCULO HIDRO'!P26</f>
        <v>2</v>
      </c>
      <c r="D150" s="2"/>
      <c r="E150" s="2"/>
      <c r="F150" s="2"/>
      <c r="G150" s="2"/>
      <c r="H150" s="2"/>
      <c r="I150" s="2"/>
      <c r="J150" s="2"/>
      <c r="K150" s="66">
        <f t="shared" si="3"/>
        <v>2</v>
      </c>
      <c r="L150" s="72" t="s">
        <v>38</v>
      </c>
      <c r="M150" s="218" t="s">
        <v>180</v>
      </c>
      <c r="N150" s="330"/>
    </row>
    <row r="151" spans="1:14" s="84" customFormat="1" ht="29.25">
      <c r="A151" s="323" t="s">
        <v>434</v>
      </c>
      <c r="B151" s="90" t="s">
        <v>661</v>
      </c>
      <c r="C151" s="256">
        <f>'CALCULO HIDRO'!I26</f>
        <v>1</v>
      </c>
      <c r="D151" s="2"/>
      <c r="E151" s="2"/>
      <c r="F151" s="2"/>
      <c r="G151" s="2"/>
      <c r="H151" s="2"/>
      <c r="I151" s="2"/>
      <c r="J151" s="2"/>
      <c r="K151" s="66">
        <f t="shared" si="3"/>
        <v>1</v>
      </c>
      <c r="L151" s="72" t="s">
        <v>38</v>
      </c>
      <c r="M151" s="228" t="s">
        <v>320</v>
      </c>
      <c r="N151" s="330"/>
    </row>
    <row r="152" spans="1:14" ht="39" customHeight="1">
      <c r="A152" s="323" t="s">
        <v>435</v>
      </c>
      <c r="B152" s="90" t="s">
        <v>662</v>
      </c>
      <c r="C152" s="256">
        <f>'CALCULO HIDRO'!Q26</f>
        <v>2</v>
      </c>
      <c r="D152" s="2"/>
      <c r="E152" s="2"/>
      <c r="F152" s="2"/>
      <c r="G152" s="2"/>
      <c r="H152" s="2"/>
      <c r="I152" s="2"/>
      <c r="J152" s="2"/>
      <c r="K152" s="66">
        <f t="shared" si="3"/>
        <v>2</v>
      </c>
      <c r="L152" s="72" t="s">
        <v>38</v>
      </c>
      <c r="M152" s="218" t="s">
        <v>181</v>
      </c>
      <c r="N152" s="330"/>
    </row>
    <row r="153" spans="1:14" s="84" customFormat="1" ht="40.5">
      <c r="A153" s="323" t="s">
        <v>436</v>
      </c>
      <c r="B153" s="90" t="s">
        <v>663</v>
      </c>
      <c r="C153" s="256">
        <f>'CALCULO HIDRO'!N18</f>
        <v>8</v>
      </c>
      <c r="D153" s="2"/>
      <c r="E153" s="2"/>
      <c r="F153" s="2"/>
      <c r="G153" s="2"/>
      <c r="H153" s="2"/>
      <c r="I153" s="2"/>
      <c r="J153" s="2"/>
      <c r="K153" s="66">
        <f t="shared" si="3"/>
        <v>8</v>
      </c>
      <c r="L153" s="72" t="s">
        <v>38</v>
      </c>
      <c r="M153" s="218" t="s">
        <v>182</v>
      </c>
      <c r="N153" s="330"/>
    </row>
    <row r="154" spans="1:14" s="84" customFormat="1" ht="40.5">
      <c r="A154" s="323" t="s">
        <v>437</v>
      </c>
      <c r="B154" s="90" t="s">
        <v>664</v>
      </c>
      <c r="C154" s="256">
        <f>'CALCULO HIDRO'!P18</f>
        <v>16</v>
      </c>
      <c r="D154" s="2"/>
      <c r="E154" s="2"/>
      <c r="F154" s="2"/>
      <c r="G154" s="2"/>
      <c r="H154" s="2"/>
      <c r="I154" s="2"/>
      <c r="J154" s="2"/>
      <c r="K154" s="66">
        <f t="shared" si="3"/>
        <v>16</v>
      </c>
      <c r="L154" s="72" t="s">
        <v>38</v>
      </c>
      <c r="M154" s="190" t="s">
        <v>183</v>
      </c>
      <c r="N154" s="330"/>
    </row>
    <row r="155" spans="1:14" ht="40.5">
      <c r="A155" s="323" t="s">
        <v>438</v>
      </c>
      <c r="B155" s="54" t="s">
        <v>665</v>
      </c>
      <c r="C155" s="256">
        <f>'CALCULO HIDRO'!S26</f>
        <v>2</v>
      </c>
      <c r="D155" s="2"/>
      <c r="E155" s="2"/>
      <c r="F155" s="2"/>
      <c r="G155" s="2"/>
      <c r="H155" s="2"/>
      <c r="I155" s="2"/>
      <c r="J155" s="2"/>
      <c r="K155" s="66">
        <f t="shared" si="3"/>
        <v>2</v>
      </c>
      <c r="L155" s="72" t="s">
        <v>38</v>
      </c>
      <c r="M155" s="218" t="s">
        <v>166</v>
      </c>
      <c r="N155" s="330"/>
    </row>
    <row r="156" spans="1:14" ht="40.5">
      <c r="A156" s="323" t="s">
        <v>439</v>
      </c>
      <c r="B156" s="54" t="s">
        <v>666</v>
      </c>
      <c r="C156" s="256">
        <f>'CALCULO HIDRO'!S28</f>
        <v>4</v>
      </c>
      <c r="D156" s="2"/>
      <c r="E156" s="2"/>
      <c r="F156" s="2"/>
      <c r="G156" s="2"/>
      <c r="H156" s="2"/>
      <c r="I156" s="2"/>
      <c r="J156" s="2"/>
      <c r="K156" s="66">
        <f t="shared" si="3"/>
        <v>4</v>
      </c>
      <c r="L156" s="72" t="s">
        <v>38</v>
      </c>
      <c r="M156" s="218" t="s">
        <v>167</v>
      </c>
      <c r="N156" s="330"/>
    </row>
    <row r="157" spans="1:14" ht="40.5">
      <c r="A157" s="323" t="s">
        <v>440</v>
      </c>
      <c r="B157" s="54" t="s">
        <v>667</v>
      </c>
      <c r="C157" s="256">
        <f>'CALCULO HIDRO'!G18</f>
        <v>17</v>
      </c>
      <c r="D157" s="2"/>
      <c r="E157" s="2"/>
      <c r="F157" s="2"/>
      <c r="G157" s="2"/>
      <c r="H157" s="2"/>
      <c r="I157" s="2"/>
      <c r="J157" s="2"/>
      <c r="K157" s="66">
        <f t="shared" si="3"/>
        <v>17</v>
      </c>
      <c r="L157" s="72" t="s">
        <v>38</v>
      </c>
      <c r="M157" s="218" t="s">
        <v>186</v>
      </c>
      <c r="N157" s="330"/>
    </row>
    <row r="158" spans="1:14" ht="27.75">
      <c r="A158" s="323" t="s">
        <v>441</v>
      </c>
      <c r="B158" s="54" t="s">
        <v>668</v>
      </c>
      <c r="C158" s="256">
        <f>2+2+2+2+1</f>
        <v>9</v>
      </c>
      <c r="D158" s="2"/>
      <c r="E158" s="2"/>
      <c r="F158" s="2"/>
      <c r="G158" s="2"/>
      <c r="H158" s="2"/>
      <c r="I158" s="2"/>
      <c r="J158" s="2"/>
      <c r="K158" s="66">
        <f>C158</f>
        <v>9</v>
      </c>
      <c r="L158" s="72" t="s">
        <v>38</v>
      </c>
      <c r="M158" s="218" t="s">
        <v>187</v>
      </c>
      <c r="N158" s="330"/>
    </row>
    <row r="159" spans="1:14" s="84" customFormat="1" ht="27">
      <c r="A159" s="323" t="s">
        <v>442</v>
      </c>
      <c r="B159" s="343" t="s">
        <v>669</v>
      </c>
      <c r="C159" s="256">
        <f>2</f>
        <v>2</v>
      </c>
      <c r="D159" s="2"/>
      <c r="E159" s="2"/>
      <c r="F159" s="2"/>
      <c r="G159" s="2"/>
      <c r="H159" s="2"/>
      <c r="I159" s="2"/>
      <c r="J159" s="2"/>
      <c r="K159" s="66">
        <f>C159</f>
        <v>2</v>
      </c>
      <c r="L159" s="72" t="s">
        <v>38</v>
      </c>
      <c r="M159" s="218" t="s">
        <v>262</v>
      </c>
      <c r="N159" s="330"/>
    </row>
    <row r="160" spans="1:14" ht="27">
      <c r="A160" s="323" t="s">
        <v>443</v>
      </c>
      <c r="B160" s="343" t="s">
        <v>670</v>
      </c>
      <c r="C160" s="256">
        <v>4</v>
      </c>
      <c r="D160" s="2"/>
      <c r="E160" s="2"/>
      <c r="F160" s="2"/>
      <c r="G160" s="2"/>
      <c r="H160" s="2"/>
      <c r="I160" s="2"/>
      <c r="J160" s="2"/>
      <c r="K160" s="66">
        <f>C160</f>
        <v>4</v>
      </c>
      <c r="L160" s="72" t="s">
        <v>38</v>
      </c>
      <c r="M160" s="218" t="s">
        <v>205</v>
      </c>
      <c r="N160" s="330"/>
    </row>
    <row r="161" spans="1:14" ht="15">
      <c r="A161" s="323" t="s">
        <v>444</v>
      </c>
      <c r="B161" s="307" t="s">
        <v>36</v>
      </c>
      <c r="C161" s="256">
        <v>1</v>
      </c>
      <c r="D161" s="2"/>
      <c r="E161" s="2"/>
      <c r="F161" s="2"/>
      <c r="G161" s="2"/>
      <c r="H161" s="2"/>
      <c r="I161" s="2"/>
      <c r="J161" s="2"/>
      <c r="K161" s="66">
        <f>C161</f>
        <v>1</v>
      </c>
      <c r="L161" s="72" t="s">
        <v>38</v>
      </c>
      <c r="M161" s="186" t="s">
        <v>49</v>
      </c>
      <c r="N161" s="330"/>
    </row>
    <row r="162" spans="1:14" s="60" customFormat="1" ht="15">
      <c r="A162" s="293"/>
      <c r="B162" s="74" t="s">
        <v>16</v>
      </c>
      <c r="C162" s="293" t="s">
        <v>19</v>
      </c>
      <c r="D162" s="75" t="s">
        <v>23</v>
      </c>
      <c r="E162" s="76" t="s">
        <v>24</v>
      </c>
      <c r="F162" s="75" t="s">
        <v>29</v>
      </c>
      <c r="G162" s="75" t="s">
        <v>30</v>
      </c>
      <c r="H162" s="75" t="s">
        <v>35</v>
      </c>
      <c r="I162" s="75" t="s">
        <v>31</v>
      </c>
      <c r="J162" s="75"/>
      <c r="K162" s="77"/>
      <c r="L162" s="77"/>
      <c r="M162" s="59"/>
      <c r="N162" s="297"/>
    </row>
    <row r="163" spans="1:14" ht="67.5">
      <c r="A163" s="323" t="s">
        <v>445</v>
      </c>
      <c r="B163" s="54" t="s">
        <v>671</v>
      </c>
      <c r="C163" s="256">
        <v>1</v>
      </c>
      <c r="D163" s="40"/>
      <c r="E163" s="40"/>
      <c r="F163" s="40"/>
      <c r="G163" s="40"/>
      <c r="H163" s="40"/>
      <c r="I163" s="40"/>
      <c r="J163" s="40"/>
      <c r="K163" s="66">
        <f>C163</f>
        <v>1</v>
      </c>
      <c r="L163" s="72" t="s">
        <v>38</v>
      </c>
      <c r="M163" s="218" t="s">
        <v>168</v>
      </c>
      <c r="N163" s="330"/>
    </row>
    <row r="164" spans="1:14" ht="41.25" customHeight="1">
      <c r="A164" s="323" t="s">
        <v>446</v>
      </c>
      <c r="B164" s="54" t="s">
        <v>672</v>
      </c>
      <c r="C164" s="40"/>
      <c r="D164" s="40"/>
      <c r="E164" s="40"/>
      <c r="F164" s="256">
        <f>'CALCULO HIDRO'!B42</f>
        <v>8.999999999999998</v>
      </c>
      <c r="G164" s="40"/>
      <c r="H164" s="40"/>
      <c r="I164" s="40"/>
      <c r="J164" s="40"/>
      <c r="K164" s="66">
        <f>F164</f>
        <v>8.999999999999998</v>
      </c>
      <c r="L164" s="53" t="s">
        <v>39</v>
      </c>
      <c r="M164" s="218" t="s">
        <v>190</v>
      </c>
      <c r="N164" s="330"/>
    </row>
    <row r="165" spans="1:14" ht="42" customHeight="1">
      <c r="A165" s="323" t="s">
        <v>447</v>
      </c>
      <c r="B165" s="54" t="s">
        <v>673</v>
      </c>
      <c r="C165" s="40"/>
      <c r="D165" s="40"/>
      <c r="E165" s="40"/>
      <c r="F165" s="256">
        <f>'CALCULO HIDRO'!F42+'CALCULO HIDRO'!F52</f>
        <v>29.9</v>
      </c>
      <c r="G165" s="40"/>
      <c r="H165" s="40"/>
      <c r="I165" s="40"/>
      <c r="J165" s="40"/>
      <c r="K165" s="66">
        <f>F165</f>
        <v>29.9</v>
      </c>
      <c r="L165" s="53" t="s">
        <v>39</v>
      </c>
      <c r="M165" s="211" t="s">
        <v>49</v>
      </c>
      <c r="N165" s="330"/>
    </row>
    <row r="166" spans="1:14" ht="39" customHeight="1">
      <c r="A166" s="323" t="s">
        <v>448</v>
      </c>
      <c r="B166" s="54" t="s">
        <v>674</v>
      </c>
      <c r="C166" s="40"/>
      <c r="D166" s="40"/>
      <c r="E166" s="40"/>
      <c r="F166" s="256">
        <f>'CALCULO HIDRO'!J42</f>
        <v>4.8</v>
      </c>
      <c r="G166" s="40"/>
      <c r="H166" s="40"/>
      <c r="I166" s="40"/>
      <c r="J166" s="40"/>
      <c r="K166" s="66">
        <f>F166</f>
        <v>4.8</v>
      </c>
      <c r="L166" s="53" t="s">
        <v>39</v>
      </c>
      <c r="M166" s="211" t="s">
        <v>49</v>
      </c>
      <c r="N166" s="296"/>
    </row>
    <row r="167" spans="1:14" ht="40.5">
      <c r="A167" s="323" t="s">
        <v>449</v>
      </c>
      <c r="B167" s="54" t="s">
        <v>675</v>
      </c>
      <c r="C167" s="40"/>
      <c r="D167" s="40"/>
      <c r="E167" s="40"/>
      <c r="F167" s="256">
        <f>'CALCULO HIDRO'!P42</f>
        <v>30.599999999999998</v>
      </c>
      <c r="G167" s="40"/>
      <c r="H167" s="40"/>
      <c r="I167" s="40"/>
      <c r="J167" s="40"/>
      <c r="K167" s="66">
        <f>F167</f>
        <v>30.599999999999998</v>
      </c>
      <c r="L167" s="53" t="s">
        <v>39</v>
      </c>
      <c r="M167" s="211" t="s">
        <v>49</v>
      </c>
      <c r="N167" s="296"/>
    </row>
    <row r="168" spans="1:14" ht="40.5">
      <c r="A168" s="323" t="s">
        <v>450</v>
      </c>
      <c r="B168" s="54" t="s">
        <v>676</v>
      </c>
      <c r="C168" s="256">
        <f>'CALCULO HIDRO'!C42</f>
        <v>16</v>
      </c>
      <c r="D168" s="40"/>
      <c r="E168" s="40"/>
      <c r="F168" s="40"/>
      <c r="G168" s="40"/>
      <c r="H168" s="40"/>
      <c r="I168" s="40"/>
      <c r="J168" s="40"/>
      <c r="K168" s="66">
        <f aca="true" t="shared" si="4" ref="K168:K174">C168</f>
        <v>16</v>
      </c>
      <c r="L168" s="72" t="s">
        <v>38</v>
      </c>
      <c r="M168" s="218" t="s">
        <v>190</v>
      </c>
      <c r="N168" s="296"/>
    </row>
    <row r="169" spans="1:14" ht="40.5">
      <c r="A169" s="323" t="s">
        <v>451</v>
      </c>
      <c r="B169" s="54" t="s">
        <v>677</v>
      </c>
      <c r="C169" s="256">
        <f>'CALCULO HIDRO'!H42</f>
        <v>5</v>
      </c>
      <c r="D169" s="40"/>
      <c r="E169" s="40"/>
      <c r="F169" s="40"/>
      <c r="G169" s="40"/>
      <c r="H169" s="40"/>
      <c r="I169" s="40"/>
      <c r="J169" s="40"/>
      <c r="K169" s="66">
        <f t="shared" si="4"/>
        <v>5</v>
      </c>
      <c r="L169" s="72" t="s">
        <v>38</v>
      </c>
      <c r="M169" s="211" t="s">
        <v>49</v>
      </c>
      <c r="N169" s="296"/>
    </row>
    <row r="170" spans="1:14" ht="40.5">
      <c r="A170" s="323" t="s">
        <v>452</v>
      </c>
      <c r="B170" s="54" t="s">
        <v>678</v>
      </c>
      <c r="C170" s="256">
        <f>'CALCULO HIDRO'!L42</f>
        <v>2</v>
      </c>
      <c r="D170" s="40"/>
      <c r="E170" s="40"/>
      <c r="F170" s="40"/>
      <c r="G170" s="40"/>
      <c r="H170" s="40"/>
      <c r="I170" s="40"/>
      <c r="J170" s="40"/>
      <c r="K170" s="66">
        <f t="shared" si="4"/>
        <v>2</v>
      </c>
      <c r="L170" s="72" t="s">
        <v>38</v>
      </c>
      <c r="M170" s="211" t="s">
        <v>49</v>
      </c>
      <c r="N170" s="296"/>
    </row>
    <row r="171" spans="1:14" ht="40.5">
      <c r="A171" s="323" t="s">
        <v>453</v>
      </c>
      <c r="B171" s="54" t="s">
        <v>679</v>
      </c>
      <c r="C171" s="256">
        <f>'CALCULO HIDRO'!R42</f>
        <v>2</v>
      </c>
      <c r="D171" s="40"/>
      <c r="E171" s="40"/>
      <c r="F171" s="40"/>
      <c r="G171" s="40"/>
      <c r="H171" s="40"/>
      <c r="I171" s="40"/>
      <c r="J171" s="40"/>
      <c r="K171" s="66">
        <f t="shared" si="4"/>
        <v>2</v>
      </c>
      <c r="L171" s="72" t="s">
        <v>38</v>
      </c>
      <c r="M171" s="211" t="s">
        <v>49</v>
      </c>
      <c r="N171" s="296"/>
    </row>
    <row r="172" spans="1:14" ht="40.5">
      <c r="A172" s="323" t="s">
        <v>454</v>
      </c>
      <c r="B172" s="54" t="s">
        <v>680</v>
      </c>
      <c r="C172" s="256">
        <f>'CALCULO HIDRO'!Q42</f>
        <v>3</v>
      </c>
      <c r="D172" s="40"/>
      <c r="E172" s="40"/>
      <c r="F172" s="40"/>
      <c r="G172" s="40"/>
      <c r="H172" s="40"/>
      <c r="I172" s="40"/>
      <c r="J172" s="40"/>
      <c r="K172" s="66">
        <f t="shared" si="4"/>
        <v>3</v>
      </c>
      <c r="L172" s="72" t="s">
        <v>38</v>
      </c>
      <c r="M172" s="211" t="s">
        <v>49</v>
      </c>
      <c r="N172" s="296"/>
    </row>
    <row r="173" spans="1:14" ht="40.5">
      <c r="A173" s="323" t="s">
        <v>455</v>
      </c>
      <c r="B173" s="90" t="s">
        <v>681</v>
      </c>
      <c r="C173" s="256">
        <f>'CALCULO HIDRO'!U42</f>
        <v>5</v>
      </c>
      <c r="D173" s="32"/>
      <c r="E173" s="32"/>
      <c r="F173" s="32"/>
      <c r="G173" s="32"/>
      <c r="H173" s="32"/>
      <c r="I173" s="32"/>
      <c r="J173" s="32"/>
      <c r="K173" s="66">
        <f t="shared" si="4"/>
        <v>5</v>
      </c>
      <c r="L173" s="72" t="s">
        <v>38</v>
      </c>
      <c r="M173" s="227" t="s">
        <v>192</v>
      </c>
      <c r="N173" s="296"/>
    </row>
    <row r="174" spans="1:14" s="84" customFormat="1" ht="43.5">
      <c r="A174" s="323" t="s">
        <v>456</v>
      </c>
      <c r="B174" s="343" t="s">
        <v>682</v>
      </c>
      <c r="C174" s="256">
        <f>'CALCULO HIDRO'!T42</f>
        <v>5</v>
      </c>
      <c r="D174" s="32"/>
      <c r="E174" s="32"/>
      <c r="F174" s="32"/>
      <c r="G174" s="32"/>
      <c r="H174" s="32"/>
      <c r="I174" s="32"/>
      <c r="J174" s="32"/>
      <c r="K174" s="66">
        <f t="shared" si="4"/>
        <v>5</v>
      </c>
      <c r="L174" s="72" t="s">
        <v>38</v>
      </c>
      <c r="M174" s="227" t="s">
        <v>193</v>
      </c>
      <c r="N174" s="296"/>
    </row>
    <row r="175" spans="1:14" ht="40.5">
      <c r="A175" s="323" t="s">
        <v>457</v>
      </c>
      <c r="B175" s="90" t="s">
        <v>683</v>
      </c>
      <c r="C175" s="256">
        <f>'CALCULO HIDRO'!O42</f>
        <v>1</v>
      </c>
      <c r="D175" s="32"/>
      <c r="E175" s="32"/>
      <c r="F175" s="32"/>
      <c r="G175" s="32"/>
      <c r="H175" s="32"/>
      <c r="I175" s="32"/>
      <c r="J175" s="32"/>
      <c r="K175" s="66">
        <f aca="true" t="shared" si="5" ref="K175:K182">C175</f>
        <v>1</v>
      </c>
      <c r="L175" s="72" t="s">
        <v>38</v>
      </c>
      <c r="M175" s="218" t="s">
        <v>191</v>
      </c>
      <c r="N175" s="296"/>
    </row>
    <row r="176" spans="1:14" s="84" customFormat="1" ht="43.5">
      <c r="A176" s="323" t="s">
        <v>458</v>
      </c>
      <c r="B176" s="90" t="s">
        <v>684</v>
      </c>
      <c r="C176" s="256">
        <f>'CALCULO HIDRO'!N42</f>
        <v>1</v>
      </c>
      <c r="D176" s="32"/>
      <c r="E176" s="32"/>
      <c r="F176" s="32"/>
      <c r="G176" s="32"/>
      <c r="H176" s="32"/>
      <c r="I176" s="32"/>
      <c r="J176" s="32"/>
      <c r="K176" s="66">
        <f t="shared" si="5"/>
        <v>1</v>
      </c>
      <c r="L176" s="72" t="s">
        <v>38</v>
      </c>
      <c r="M176" s="218" t="s">
        <v>194</v>
      </c>
      <c r="N176" s="296"/>
    </row>
    <row r="177" spans="1:14" ht="40.5">
      <c r="A177" s="323" t="s">
        <v>459</v>
      </c>
      <c r="B177" s="54" t="s">
        <v>685</v>
      </c>
      <c r="C177" s="256">
        <f>'CALCULO HIDRO'!S42</f>
        <v>1</v>
      </c>
      <c r="D177" s="40"/>
      <c r="E177" s="40"/>
      <c r="F177" s="40"/>
      <c r="G177" s="40"/>
      <c r="H177" s="40"/>
      <c r="I177" s="40"/>
      <c r="J177" s="40"/>
      <c r="K177" s="66">
        <f t="shared" si="5"/>
        <v>1</v>
      </c>
      <c r="L177" s="72" t="s">
        <v>38</v>
      </c>
      <c r="M177" s="218" t="s">
        <v>195</v>
      </c>
      <c r="N177" s="296"/>
    </row>
    <row r="178" spans="1:14" ht="27">
      <c r="A178" s="323" t="s">
        <v>460</v>
      </c>
      <c r="B178" s="54" t="s">
        <v>686</v>
      </c>
      <c r="C178" s="256">
        <v>1</v>
      </c>
      <c r="D178" s="40"/>
      <c r="E178" s="40"/>
      <c r="F178" s="40"/>
      <c r="G178" s="40"/>
      <c r="H178" s="40"/>
      <c r="I178" s="40"/>
      <c r="J178" s="40"/>
      <c r="K178" s="66">
        <f t="shared" si="5"/>
        <v>1</v>
      </c>
      <c r="L178" s="72" t="s">
        <v>38</v>
      </c>
      <c r="M178" s="218" t="s">
        <v>196</v>
      </c>
      <c r="N178" s="296"/>
    </row>
    <row r="179" spans="1:14" ht="27">
      <c r="A179" s="323" t="s">
        <v>461</v>
      </c>
      <c r="B179" s="54" t="s">
        <v>687</v>
      </c>
      <c r="C179" s="256">
        <v>5</v>
      </c>
      <c r="D179" s="40"/>
      <c r="E179" s="40"/>
      <c r="F179" s="40"/>
      <c r="G179" s="40"/>
      <c r="H179" s="40"/>
      <c r="I179" s="40"/>
      <c r="J179" s="40"/>
      <c r="K179" s="66">
        <f t="shared" si="5"/>
        <v>5</v>
      </c>
      <c r="L179" s="72" t="s">
        <v>38</v>
      </c>
      <c r="M179" s="218" t="s">
        <v>197</v>
      </c>
      <c r="N179" s="296"/>
    </row>
    <row r="180" spans="1:14" ht="27">
      <c r="A180" s="323" t="s">
        <v>462</v>
      </c>
      <c r="B180" s="54" t="s">
        <v>688</v>
      </c>
      <c r="C180" s="256">
        <v>1</v>
      </c>
      <c r="D180" s="40"/>
      <c r="E180" s="40"/>
      <c r="F180" s="40"/>
      <c r="G180" s="40"/>
      <c r="H180" s="40"/>
      <c r="I180" s="40"/>
      <c r="J180" s="40"/>
      <c r="K180" s="66">
        <f t="shared" si="5"/>
        <v>1</v>
      </c>
      <c r="L180" s="72" t="s">
        <v>38</v>
      </c>
      <c r="M180" s="211" t="s">
        <v>49</v>
      </c>
      <c r="N180" s="296"/>
    </row>
    <row r="181" spans="1:14" ht="40.5">
      <c r="A181" s="323" t="s">
        <v>463</v>
      </c>
      <c r="B181" s="343" t="s">
        <v>689</v>
      </c>
      <c r="C181" s="256">
        <f>1+4</f>
        <v>5</v>
      </c>
      <c r="D181" s="40"/>
      <c r="E181" s="40"/>
      <c r="F181" s="40"/>
      <c r="G181" s="40"/>
      <c r="H181" s="40"/>
      <c r="I181" s="40"/>
      <c r="J181" s="40"/>
      <c r="K181" s="66">
        <f t="shared" si="5"/>
        <v>5</v>
      </c>
      <c r="L181" s="72" t="s">
        <v>38</v>
      </c>
      <c r="M181" s="218" t="s">
        <v>198</v>
      </c>
      <c r="N181" s="296"/>
    </row>
    <row r="182" spans="1:14" ht="40.5">
      <c r="A182" s="323" t="s">
        <v>464</v>
      </c>
      <c r="B182" s="343" t="s">
        <v>690</v>
      </c>
      <c r="C182" s="256">
        <v>1</v>
      </c>
      <c r="D182" s="40"/>
      <c r="E182" s="40"/>
      <c r="F182" s="40"/>
      <c r="G182" s="40"/>
      <c r="H182" s="40"/>
      <c r="I182" s="40"/>
      <c r="J182" s="40"/>
      <c r="K182" s="66">
        <f t="shared" si="5"/>
        <v>1</v>
      </c>
      <c r="L182" s="72" t="s">
        <v>38</v>
      </c>
      <c r="M182" s="218" t="s">
        <v>199</v>
      </c>
      <c r="N182" s="296"/>
    </row>
    <row r="183" spans="1:14" ht="40.5">
      <c r="A183" s="323" t="s">
        <v>465</v>
      </c>
      <c r="B183" s="54" t="s">
        <v>691</v>
      </c>
      <c r="C183" s="256">
        <f>4+3</f>
        <v>7</v>
      </c>
      <c r="D183" s="40"/>
      <c r="E183" s="40"/>
      <c r="F183" s="40"/>
      <c r="G183" s="40"/>
      <c r="H183" s="40"/>
      <c r="I183" s="40"/>
      <c r="J183" s="40"/>
      <c r="K183" s="66">
        <f>C183</f>
        <v>7</v>
      </c>
      <c r="L183" s="72" t="s">
        <v>38</v>
      </c>
      <c r="M183" s="211" t="s">
        <v>49</v>
      </c>
      <c r="N183" s="296"/>
    </row>
    <row r="184" spans="1:14" s="84" customFormat="1" ht="29.25">
      <c r="A184" s="323" t="s">
        <v>466</v>
      </c>
      <c r="B184" s="343" t="s">
        <v>692</v>
      </c>
      <c r="C184" s="256">
        <f>1+1+1</f>
        <v>3</v>
      </c>
      <c r="D184" s="102"/>
      <c r="E184" s="102"/>
      <c r="F184" s="102"/>
      <c r="G184" s="102"/>
      <c r="H184" s="102"/>
      <c r="I184" s="102"/>
      <c r="J184" s="102"/>
      <c r="K184" s="66">
        <f>C184</f>
        <v>3</v>
      </c>
      <c r="L184" s="72" t="s">
        <v>38</v>
      </c>
      <c r="M184" s="218" t="s">
        <v>264</v>
      </c>
      <c r="N184" s="296"/>
    </row>
    <row r="185" spans="1:14" ht="27">
      <c r="A185" s="323" t="s">
        <v>467</v>
      </c>
      <c r="B185" s="343" t="s">
        <v>693</v>
      </c>
      <c r="C185" s="256">
        <f>4</f>
        <v>4</v>
      </c>
      <c r="D185" s="40"/>
      <c r="E185" s="40"/>
      <c r="F185" s="40"/>
      <c r="G185" s="40"/>
      <c r="H185" s="40"/>
      <c r="I185" s="40"/>
      <c r="J185" s="40"/>
      <c r="K185" s="66">
        <f>C185</f>
        <v>4</v>
      </c>
      <c r="L185" s="72" t="s">
        <v>38</v>
      </c>
      <c r="M185" s="218" t="s">
        <v>263</v>
      </c>
      <c r="N185" s="296"/>
    </row>
    <row r="186" spans="1:14" s="84" customFormat="1" ht="40.5">
      <c r="A186" s="323" t="s">
        <v>468</v>
      </c>
      <c r="B186" s="54" t="s">
        <v>694</v>
      </c>
      <c r="C186" s="256">
        <v>1</v>
      </c>
      <c r="D186" s="40"/>
      <c r="E186" s="40"/>
      <c r="F186" s="40"/>
      <c r="G186" s="40"/>
      <c r="H186" s="40"/>
      <c r="I186" s="40"/>
      <c r="J186" s="40"/>
      <c r="K186" s="66">
        <f>C186</f>
        <v>1</v>
      </c>
      <c r="L186" s="72" t="s">
        <v>38</v>
      </c>
      <c r="M186" s="218" t="s">
        <v>200</v>
      </c>
      <c r="N186" s="296"/>
    </row>
    <row r="187" spans="1:13" s="60" customFormat="1" ht="15">
      <c r="A187" s="293"/>
      <c r="B187" s="74" t="s">
        <v>96</v>
      </c>
      <c r="C187" s="293" t="s">
        <v>19</v>
      </c>
      <c r="D187" s="75" t="s">
        <v>23</v>
      </c>
      <c r="E187" s="76" t="s">
        <v>24</v>
      </c>
      <c r="F187" s="75" t="s">
        <v>29</v>
      </c>
      <c r="G187" s="75" t="s">
        <v>30</v>
      </c>
      <c r="H187" s="75" t="s">
        <v>35</v>
      </c>
      <c r="I187" s="75" t="s">
        <v>31</v>
      </c>
      <c r="J187" s="75"/>
      <c r="K187" s="77"/>
      <c r="L187" s="77"/>
      <c r="M187" s="59"/>
    </row>
    <row r="188" spans="1:14" ht="40.5">
      <c r="A188" s="323" t="s">
        <v>469</v>
      </c>
      <c r="B188" s="90" t="s">
        <v>695</v>
      </c>
      <c r="C188" s="256">
        <f>'CALCULO HIDRO'!G52</f>
        <v>5</v>
      </c>
      <c r="D188" s="40"/>
      <c r="E188" s="40"/>
      <c r="F188" s="40"/>
      <c r="G188" s="40"/>
      <c r="H188" s="40"/>
      <c r="I188" s="40"/>
      <c r="J188" s="40"/>
      <c r="K188" s="66">
        <f>C188</f>
        <v>5</v>
      </c>
      <c r="L188" s="72" t="s">
        <v>38</v>
      </c>
      <c r="M188" s="218" t="s">
        <v>206</v>
      </c>
      <c r="N188" s="296"/>
    </row>
    <row r="189" spans="1:14" s="84" customFormat="1" ht="40.5">
      <c r="A189" s="323" t="s">
        <v>470</v>
      </c>
      <c r="B189" s="90" t="s">
        <v>696</v>
      </c>
      <c r="C189" s="256">
        <f>'CALCULO HIDRO'!K52</f>
        <v>1</v>
      </c>
      <c r="D189" s="40"/>
      <c r="E189" s="40"/>
      <c r="F189" s="40"/>
      <c r="G189" s="40"/>
      <c r="H189" s="40"/>
      <c r="I189" s="40"/>
      <c r="J189" s="40"/>
      <c r="K189" s="66">
        <f>C189</f>
        <v>1</v>
      </c>
      <c r="L189" s="72" t="s">
        <v>38</v>
      </c>
      <c r="M189" s="218" t="s">
        <v>206</v>
      </c>
      <c r="N189" s="296"/>
    </row>
    <row r="190" spans="1:14" ht="40.5">
      <c r="A190" s="323" t="s">
        <v>471</v>
      </c>
      <c r="B190" s="90" t="s">
        <v>697</v>
      </c>
      <c r="C190" s="256">
        <f>'CALCULO HIDRO'!I52</f>
        <v>9</v>
      </c>
      <c r="D190" s="40"/>
      <c r="E190" s="40"/>
      <c r="F190" s="40"/>
      <c r="G190" s="40"/>
      <c r="H190" s="40"/>
      <c r="I190" s="40"/>
      <c r="J190" s="40"/>
      <c r="K190" s="66">
        <f>C190</f>
        <v>9</v>
      </c>
      <c r="L190" s="72" t="s">
        <v>38</v>
      </c>
      <c r="M190" s="218" t="s">
        <v>206</v>
      </c>
      <c r="N190" s="296"/>
    </row>
    <row r="191" spans="1:14" s="84" customFormat="1" ht="40.5">
      <c r="A191" s="323" t="s">
        <v>472</v>
      </c>
      <c r="B191" s="90" t="s">
        <v>698</v>
      </c>
      <c r="C191" s="256">
        <f>'CALCULO HIDRO'!J52</f>
        <v>1</v>
      </c>
      <c r="D191" s="40"/>
      <c r="E191" s="40"/>
      <c r="F191" s="40"/>
      <c r="G191" s="40"/>
      <c r="H191" s="40"/>
      <c r="I191" s="40"/>
      <c r="J191" s="40"/>
      <c r="K191" s="66">
        <f>C191</f>
        <v>1</v>
      </c>
      <c r="L191" s="72" t="s">
        <v>38</v>
      </c>
      <c r="M191" s="218" t="s">
        <v>206</v>
      </c>
      <c r="N191" s="296"/>
    </row>
    <row r="192" spans="1:14" s="84" customFormat="1" ht="40.5">
      <c r="A192" s="323" t="s">
        <v>473</v>
      </c>
      <c r="B192" s="343" t="s">
        <v>699</v>
      </c>
      <c r="C192" s="256">
        <f>'CALCULO HIDRO'!N52</f>
        <v>1</v>
      </c>
      <c r="D192" s="40"/>
      <c r="E192" s="40"/>
      <c r="F192" s="40"/>
      <c r="G192" s="40"/>
      <c r="H192" s="40"/>
      <c r="I192" s="40"/>
      <c r="J192" s="40"/>
      <c r="K192" s="66">
        <f>C192</f>
        <v>1</v>
      </c>
      <c r="L192" s="72" t="s">
        <v>38</v>
      </c>
      <c r="M192" s="218" t="s">
        <v>206</v>
      </c>
      <c r="N192" s="296"/>
    </row>
    <row r="193" spans="1:13" s="60" customFormat="1" ht="15">
      <c r="A193" s="311"/>
      <c r="B193" s="74" t="s">
        <v>17</v>
      </c>
      <c r="C193" s="293" t="s">
        <v>19</v>
      </c>
      <c r="D193" s="75" t="s">
        <v>23</v>
      </c>
      <c r="E193" s="76" t="s">
        <v>24</v>
      </c>
      <c r="F193" s="75" t="s">
        <v>29</v>
      </c>
      <c r="G193" s="75" t="s">
        <v>30</v>
      </c>
      <c r="H193" s="75" t="s">
        <v>35</v>
      </c>
      <c r="I193" s="75" t="s">
        <v>31</v>
      </c>
      <c r="J193" s="75"/>
      <c r="K193" s="77"/>
      <c r="L193" s="77"/>
      <c r="M193" s="59"/>
    </row>
    <row r="194" spans="1:14" ht="27">
      <c r="A194" s="323" t="s">
        <v>474</v>
      </c>
      <c r="B194" s="90" t="s">
        <v>700</v>
      </c>
      <c r="C194" s="32"/>
      <c r="D194" s="40"/>
      <c r="E194" s="40"/>
      <c r="F194" s="256">
        <f>'CALCULO HIDRO'!B59</f>
        <v>6.199999999999999</v>
      </c>
      <c r="G194" s="40"/>
      <c r="H194" s="40"/>
      <c r="I194" s="40"/>
      <c r="J194" s="40"/>
      <c r="K194" s="66">
        <f>F194</f>
        <v>6.199999999999999</v>
      </c>
      <c r="L194" s="278" t="s">
        <v>39</v>
      </c>
      <c r="M194" s="186" t="s">
        <v>115</v>
      </c>
      <c r="N194" s="296"/>
    </row>
    <row r="195" spans="1:14" s="84" customFormat="1" ht="27">
      <c r="A195" s="323" t="s">
        <v>475</v>
      </c>
      <c r="B195" s="90" t="s">
        <v>701</v>
      </c>
      <c r="C195" s="256">
        <f>'CALCULO HIDRO'!C59</f>
        <v>3</v>
      </c>
      <c r="D195" s="40"/>
      <c r="E195" s="40"/>
      <c r="F195" s="40"/>
      <c r="G195" s="40"/>
      <c r="H195" s="40"/>
      <c r="I195" s="40"/>
      <c r="J195" s="40"/>
      <c r="K195" s="66">
        <f>C195</f>
        <v>3</v>
      </c>
      <c r="L195" s="72" t="s">
        <v>38</v>
      </c>
      <c r="M195" s="186" t="s">
        <v>115</v>
      </c>
      <c r="N195" s="296"/>
    </row>
    <row r="196" spans="1:14" ht="27">
      <c r="A196" s="323" t="s">
        <v>476</v>
      </c>
      <c r="B196" s="90" t="s">
        <v>702</v>
      </c>
      <c r="C196" s="32"/>
      <c r="D196" s="40"/>
      <c r="E196" s="40"/>
      <c r="F196" s="256">
        <f>'CALCULO HIDRO'!P59</f>
        <v>36.83</v>
      </c>
      <c r="G196" s="40"/>
      <c r="H196" s="40"/>
      <c r="I196" s="40"/>
      <c r="J196" s="40"/>
      <c r="K196" s="66">
        <f>F196</f>
        <v>36.83</v>
      </c>
      <c r="L196" s="278" t="s">
        <v>39</v>
      </c>
      <c r="M196" s="186" t="s">
        <v>244</v>
      </c>
      <c r="N196" s="296"/>
    </row>
    <row r="197" spans="1:14" ht="27">
      <c r="A197" s="323" t="s">
        <v>477</v>
      </c>
      <c r="B197" s="90" t="s">
        <v>703</v>
      </c>
      <c r="C197" s="256">
        <f>'CALCULO HIDRO'!Q59</f>
        <v>8</v>
      </c>
      <c r="D197" s="40"/>
      <c r="E197" s="40"/>
      <c r="F197" s="102"/>
      <c r="G197" s="40"/>
      <c r="H197" s="40"/>
      <c r="I197" s="40"/>
      <c r="J197" s="40"/>
      <c r="K197" s="66">
        <f>C197</f>
        <v>8</v>
      </c>
      <c r="L197" s="72" t="s">
        <v>38</v>
      </c>
      <c r="M197" s="188" t="s">
        <v>245</v>
      </c>
      <c r="N197" s="296"/>
    </row>
    <row r="198" spans="1:14" ht="27">
      <c r="A198" s="323" t="s">
        <v>478</v>
      </c>
      <c r="B198" s="90" t="s">
        <v>704</v>
      </c>
      <c r="C198" s="256">
        <f>'CALCULO HIDRO'!R59</f>
        <v>12</v>
      </c>
      <c r="D198" s="40"/>
      <c r="E198" s="40"/>
      <c r="F198" s="40"/>
      <c r="G198" s="40"/>
      <c r="H198" s="40"/>
      <c r="I198" s="40"/>
      <c r="J198" s="40"/>
      <c r="K198" s="66">
        <f>C198</f>
        <v>12</v>
      </c>
      <c r="L198" s="72" t="s">
        <v>38</v>
      </c>
      <c r="M198" s="186" t="s">
        <v>249</v>
      </c>
      <c r="N198" s="296"/>
    </row>
    <row r="199" spans="1:14" ht="40.5">
      <c r="A199" s="323" t="s">
        <v>479</v>
      </c>
      <c r="B199" s="90" t="s">
        <v>705</v>
      </c>
      <c r="C199" s="256">
        <f>'CALCULO HIDRO'!S59</f>
        <v>1</v>
      </c>
      <c r="D199" s="40"/>
      <c r="E199" s="40"/>
      <c r="F199" s="40"/>
      <c r="G199" s="40"/>
      <c r="H199" s="40"/>
      <c r="I199" s="40"/>
      <c r="J199" s="40"/>
      <c r="K199" s="66">
        <f>C199</f>
        <v>1</v>
      </c>
      <c r="L199" s="72" t="s">
        <v>38</v>
      </c>
      <c r="M199" s="186" t="s">
        <v>249</v>
      </c>
      <c r="N199" s="296"/>
    </row>
    <row r="200" spans="1:14" s="84" customFormat="1" ht="27">
      <c r="A200" s="323" t="s">
        <v>480</v>
      </c>
      <c r="B200" s="90" t="s">
        <v>706</v>
      </c>
      <c r="C200" s="256">
        <v>6</v>
      </c>
      <c r="D200" s="40"/>
      <c r="E200" s="256">
        <f>3.5+1</f>
        <v>4.5</v>
      </c>
      <c r="F200" s="40"/>
      <c r="G200" s="40"/>
      <c r="H200" s="40"/>
      <c r="I200" s="40"/>
      <c r="J200" s="40"/>
      <c r="K200" s="66">
        <f>E200*C200</f>
        <v>27</v>
      </c>
      <c r="L200" s="278" t="s">
        <v>39</v>
      </c>
      <c r="M200" s="186" t="s">
        <v>248</v>
      </c>
      <c r="N200" s="296"/>
    </row>
    <row r="201" spans="1:14" s="84" customFormat="1" ht="41.25" customHeight="1">
      <c r="A201" s="323" t="s">
        <v>481</v>
      </c>
      <c r="B201" s="54" t="s">
        <v>530</v>
      </c>
      <c r="C201" s="40"/>
      <c r="D201" s="40"/>
      <c r="E201" s="40"/>
      <c r="F201" s="256">
        <f>'CALCULO HIDRO'!U59</f>
        <v>22.6</v>
      </c>
      <c r="G201" s="40"/>
      <c r="H201" s="40"/>
      <c r="I201" s="40"/>
      <c r="J201" s="40"/>
      <c r="K201" s="66">
        <f>F201</f>
        <v>22.6</v>
      </c>
      <c r="L201" s="278" t="s">
        <v>39</v>
      </c>
      <c r="M201" s="188" t="s">
        <v>324</v>
      </c>
      <c r="N201" s="296"/>
    </row>
    <row r="202" spans="1:13" s="84" customFormat="1" ht="15">
      <c r="A202" s="311"/>
      <c r="B202" s="74" t="s">
        <v>325</v>
      </c>
      <c r="C202" s="293" t="s">
        <v>19</v>
      </c>
      <c r="D202" s="75" t="s">
        <v>23</v>
      </c>
      <c r="E202" s="76" t="s">
        <v>24</v>
      </c>
      <c r="F202" s="75" t="s">
        <v>29</v>
      </c>
      <c r="G202" s="75" t="s">
        <v>30</v>
      </c>
      <c r="H202" s="75"/>
      <c r="I202" s="75" t="s">
        <v>31</v>
      </c>
      <c r="J202" s="75"/>
      <c r="K202" s="77"/>
      <c r="L202" s="77"/>
      <c r="M202" s="186"/>
    </row>
    <row r="203" spans="1:14" s="84" customFormat="1" ht="27">
      <c r="A203" s="317" t="s">
        <v>482</v>
      </c>
      <c r="B203" s="90" t="s">
        <v>650</v>
      </c>
      <c r="C203" s="185"/>
      <c r="D203" s="256"/>
      <c r="E203" s="256"/>
      <c r="F203" s="256">
        <v>80</v>
      </c>
      <c r="G203" s="256"/>
      <c r="H203" s="185"/>
      <c r="I203" s="256"/>
      <c r="J203" s="185"/>
      <c r="K203" s="66">
        <f>F203</f>
        <v>80</v>
      </c>
      <c r="L203" s="72" t="s">
        <v>39</v>
      </c>
      <c r="M203" s="186" t="s">
        <v>244</v>
      </c>
      <c r="N203" s="296"/>
    </row>
    <row r="204" spans="1:14" s="84" customFormat="1" ht="27">
      <c r="A204" s="317" t="s">
        <v>483</v>
      </c>
      <c r="B204" s="90" t="s">
        <v>707</v>
      </c>
      <c r="C204" s="185"/>
      <c r="D204" s="256">
        <v>0.3</v>
      </c>
      <c r="E204" s="256"/>
      <c r="F204" s="256">
        <v>80</v>
      </c>
      <c r="G204" s="256">
        <f>D204*F204</f>
        <v>24</v>
      </c>
      <c r="H204" s="185"/>
      <c r="I204" s="256"/>
      <c r="J204" s="185"/>
      <c r="K204" s="66">
        <f>G204</f>
        <v>24</v>
      </c>
      <c r="L204" s="72" t="s">
        <v>37</v>
      </c>
      <c r="M204" s="186" t="s">
        <v>244</v>
      </c>
      <c r="N204" s="296"/>
    </row>
    <row r="205" spans="1:14" s="84" customFormat="1" ht="27">
      <c r="A205" s="317" t="s">
        <v>484</v>
      </c>
      <c r="B205" s="90" t="s">
        <v>708</v>
      </c>
      <c r="C205" s="185"/>
      <c r="D205" s="256">
        <v>0.3</v>
      </c>
      <c r="E205" s="256">
        <v>0.5</v>
      </c>
      <c r="F205" s="256">
        <v>80</v>
      </c>
      <c r="G205" s="256"/>
      <c r="H205" s="185"/>
      <c r="I205" s="256">
        <f>D205*E205*F205</f>
        <v>12</v>
      </c>
      <c r="J205" s="185"/>
      <c r="K205" s="66">
        <f>I205</f>
        <v>12</v>
      </c>
      <c r="L205" s="72" t="s">
        <v>40</v>
      </c>
      <c r="M205" s="186" t="s">
        <v>244</v>
      </c>
      <c r="N205" s="296"/>
    </row>
    <row r="206" spans="1:14" s="84" customFormat="1" ht="15">
      <c r="A206" s="317" t="s">
        <v>485</v>
      </c>
      <c r="B206" s="90" t="s">
        <v>578</v>
      </c>
      <c r="C206" s="185"/>
      <c r="D206" s="256">
        <v>0.3</v>
      </c>
      <c r="E206" s="256">
        <v>0.5</v>
      </c>
      <c r="F206" s="256">
        <v>80</v>
      </c>
      <c r="G206" s="256"/>
      <c r="H206" s="185"/>
      <c r="I206" s="256">
        <f>D206*E206*F206</f>
        <v>12</v>
      </c>
      <c r="J206" s="185"/>
      <c r="K206" s="66">
        <f>I206*1.1</f>
        <v>13.200000000000001</v>
      </c>
      <c r="L206" s="72" t="s">
        <v>40</v>
      </c>
      <c r="M206" s="186" t="s">
        <v>244</v>
      </c>
      <c r="N206" s="296"/>
    </row>
    <row r="207" spans="1:14" s="84" customFormat="1" ht="40.5">
      <c r="A207" s="317" t="s">
        <v>486</v>
      </c>
      <c r="B207" s="90" t="s">
        <v>709</v>
      </c>
      <c r="C207" s="185"/>
      <c r="D207" s="256">
        <v>0.3</v>
      </c>
      <c r="E207" s="256"/>
      <c r="F207" s="256">
        <v>80</v>
      </c>
      <c r="G207" s="256">
        <f>D207*F207</f>
        <v>24</v>
      </c>
      <c r="H207" s="185"/>
      <c r="I207" s="256"/>
      <c r="J207" s="185"/>
      <c r="K207" s="66">
        <f>G207</f>
        <v>24</v>
      </c>
      <c r="L207" s="72" t="s">
        <v>37</v>
      </c>
      <c r="M207" s="186" t="s">
        <v>244</v>
      </c>
      <c r="N207" s="296"/>
    </row>
    <row r="208" spans="1:14" s="84" customFormat="1" ht="40.5">
      <c r="A208" s="317" t="s">
        <v>487</v>
      </c>
      <c r="B208" s="90" t="s">
        <v>710</v>
      </c>
      <c r="C208" s="256">
        <v>1</v>
      </c>
      <c r="D208" s="185"/>
      <c r="E208" s="185"/>
      <c r="F208" s="185"/>
      <c r="G208" s="185"/>
      <c r="H208" s="185"/>
      <c r="I208" s="185"/>
      <c r="J208" s="185"/>
      <c r="K208" s="66">
        <f>C208</f>
        <v>1</v>
      </c>
      <c r="L208" s="72" t="s">
        <v>38</v>
      </c>
      <c r="M208" s="186" t="s">
        <v>244</v>
      </c>
      <c r="N208" s="296"/>
    </row>
    <row r="209" spans="1:13" ht="18" customHeight="1">
      <c r="A209" s="20">
        <v>15</v>
      </c>
      <c r="B209" s="21" t="s">
        <v>228</v>
      </c>
      <c r="C209" s="22" t="s">
        <v>19</v>
      </c>
      <c r="D209" s="344" t="s">
        <v>20</v>
      </c>
      <c r="E209" s="345"/>
      <c r="F209" s="345"/>
      <c r="G209" s="346"/>
      <c r="H209" s="23"/>
      <c r="I209" s="23"/>
      <c r="J209" s="23"/>
      <c r="K209" s="22" t="s">
        <v>21</v>
      </c>
      <c r="L209" s="22" t="s">
        <v>22</v>
      </c>
      <c r="M209" s="91" t="s">
        <v>50</v>
      </c>
    </row>
    <row r="210" spans="1:13" ht="15">
      <c r="A210" s="311"/>
      <c r="B210" s="290" t="s">
        <v>489</v>
      </c>
      <c r="C210" s="293" t="s">
        <v>19</v>
      </c>
      <c r="D210" s="75"/>
      <c r="E210" s="76"/>
      <c r="F210" s="75" t="s">
        <v>29</v>
      </c>
      <c r="G210" s="75"/>
      <c r="H210" s="75"/>
      <c r="I210" s="75"/>
      <c r="J210" s="75"/>
      <c r="K210" s="77"/>
      <c r="L210" s="77"/>
      <c r="M210" s="78"/>
    </row>
    <row r="211" spans="1:14" ht="40.5">
      <c r="A211" s="323" t="s">
        <v>488</v>
      </c>
      <c r="B211" s="54" t="s">
        <v>711</v>
      </c>
      <c r="C211" s="52"/>
      <c r="D211" s="3"/>
      <c r="E211" s="3"/>
      <c r="F211" s="256">
        <f>121.12</f>
        <v>121.12</v>
      </c>
      <c r="G211" s="3"/>
      <c r="H211" s="3"/>
      <c r="I211" s="3"/>
      <c r="J211" s="3"/>
      <c r="K211" s="79">
        <f>F211</f>
        <v>121.12</v>
      </c>
      <c r="L211" s="72" t="s">
        <v>39</v>
      </c>
      <c r="M211" s="78"/>
      <c r="N211" s="296"/>
    </row>
    <row r="212" spans="1:14" ht="40.5">
      <c r="A212" s="323" t="s">
        <v>490</v>
      </c>
      <c r="B212" s="54" t="s">
        <v>712</v>
      </c>
      <c r="C212" s="52"/>
      <c r="D212" s="3"/>
      <c r="E212" s="3"/>
      <c r="F212" s="256">
        <v>61.03</v>
      </c>
      <c r="G212" s="3"/>
      <c r="H212" s="3"/>
      <c r="I212" s="3"/>
      <c r="J212" s="3"/>
      <c r="K212" s="79">
        <f>F212</f>
        <v>61.03</v>
      </c>
      <c r="L212" s="72" t="s">
        <v>39</v>
      </c>
      <c r="M212" s="78"/>
      <c r="N212" s="296"/>
    </row>
    <row r="213" spans="1:14" ht="40.5">
      <c r="A213" s="323" t="s">
        <v>491</v>
      </c>
      <c r="B213" s="54" t="s">
        <v>713</v>
      </c>
      <c r="C213" s="52"/>
      <c r="D213" s="3"/>
      <c r="E213" s="3"/>
      <c r="F213" s="256">
        <v>141.24</v>
      </c>
      <c r="G213" s="3"/>
      <c r="H213" s="3"/>
      <c r="I213" s="3"/>
      <c r="J213" s="3"/>
      <c r="K213" s="79">
        <f>F213</f>
        <v>141.24</v>
      </c>
      <c r="L213" s="72" t="s">
        <v>39</v>
      </c>
      <c r="M213" s="78"/>
      <c r="N213" s="296"/>
    </row>
    <row r="214" spans="1:14" ht="40.5">
      <c r="A214" s="323" t="s">
        <v>492</v>
      </c>
      <c r="B214" s="64" t="s">
        <v>714</v>
      </c>
      <c r="C214" s="256">
        <v>31</v>
      </c>
      <c r="D214" s="3"/>
      <c r="E214" s="3"/>
      <c r="F214" s="256"/>
      <c r="G214" s="3"/>
      <c r="H214" s="3"/>
      <c r="I214" s="3"/>
      <c r="J214" s="3"/>
      <c r="K214" s="79">
        <f>C214</f>
        <v>31</v>
      </c>
      <c r="L214" s="72" t="s">
        <v>38</v>
      </c>
      <c r="M214" s="78"/>
      <c r="N214" s="296"/>
    </row>
    <row r="215" spans="1:14" ht="27">
      <c r="A215" s="323" t="s">
        <v>493</v>
      </c>
      <c r="B215" s="64" t="s">
        <v>715</v>
      </c>
      <c r="C215" s="256">
        <v>9</v>
      </c>
      <c r="D215" s="3"/>
      <c r="E215" s="3"/>
      <c r="F215" s="256"/>
      <c r="G215" s="3"/>
      <c r="H215" s="3"/>
      <c r="I215" s="3"/>
      <c r="J215" s="3"/>
      <c r="K215" s="79">
        <f>C215</f>
        <v>9</v>
      </c>
      <c r="L215" s="72" t="s">
        <v>38</v>
      </c>
      <c r="M215" s="78"/>
      <c r="N215" s="296"/>
    </row>
    <row r="216" spans="1:14" ht="27">
      <c r="A216" s="323" t="s">
        <v>494</v>
      </c>
      <c r="B216" s="64" t="s">
        <v>716</v>
      </c>
      <c r="C216" s="52"/>
      <c r="D216" s="3"/>
      <c r="E216" s="3"/>
      <c r="F216" s="256">
        <v>705.25</v>
      </c>
      <c r="G216" s="3"/>
      <c r="H216" s="3"/>
      <c r="I216" s="3"/>
      <c r="J216" s="3"/>
      <c r="K216" s="79">
        <f>F216</f>
        <v>705.25</v>
      </c>
      <c r="L216" s="72" t="s">
        <v>39</v>
      </c>
      <c r="M216" s="78"/>
      <c r="N216" s="296"/>
    </row>
    <row r="217" spans="1:14" ht="27">
      <c r="A217" s="323" t="s">
        <v>495</v>
      </c>
      <c r="B217" s="54" t="s">
        <v>717</v>
      </c>
      <c r="C217" s="52"/>
      <c r="D217" s="3"/>
      <c r="E217" s="3"/>
      <c r="F217" s="256">
        <v>57.15</v>
      </c>
      <c r="G217" s="3"/>
      <c r="H217" s="3"/>
      <c r="I217" s="3"/>
      <c r="J217" s="3"/>
      <c r="K217" s="79">
        <f>F217</f>
        <v>57.15</v>
      </c>
      <c r="L217" s="72" t="s">
        <v>39</v>
      </c>
      <c r="M217" s="78"/>
      <c r="N217" s="296"/>
    </row>
    <row r="218" spans="1:14" ht="27">
      <c r="A218" s="323" t="s">
        <v>496</v>
      </c>
      <c r="B218" s="54" t="s">
        <v>718</v>
      </c>
      <c r="C218" s="52"/>
      <c r="D218" s="3"/>
      <c r="E218" s="3"/>
      <c r="F218" s="256">
        <v>287.25</v>
      </c>
      <c r="G218" s="3"/>
      <c r="H218" s="3"/>
      <c r="I218" s="3"/>
      <c r="J218" s="3"/>
      <c r="K218" s="79">
        <f>F218</f>
        <v>287.25</v>
      </c>
      <c r="L218" s="72" t="s">
        <v>39</v>
      </c>
      <c r="M218" s="78"/>
      <c r="N218" s="296"/>
    </row>
    <row r="219" spans="1:14" s="84" customFormat="1" ht="27">
      <c r="A219" s="323" t="s">
        <v>497</v>
      </c>
      <c r="B219" s="54" t="s">
        <v>719</v>
      </c>
      <c r="C219" s="52"/>
      <c r="D219" s="3"/>
      <c r="E219" s="3"/>
      <c r="F219" s="256">
        <v>90.95</v>
      </c>
      <c r="G219" s="3"/>
      <c r="H219" s="3"/>
      <c r="I219" s="3"/>
      <c r="J219" s="3"/>
      <c r="K219" s="79">
        <f>F219</f>
        <v>90.95</v>
      </c>
      <c r="L219" s="72" t="s">
        <v>39</v>
      </c>
      <c r="M219" s="78"/>
      <c r="N219" s="296"/>
    </row>
    <row r="220" spans="1:14" s="280" customFormat="1" ht="27">
      <c r="A220" s="323" t="s">
        <v>498</v>
      </c>
      <c r="B220" s="54" t="s">
        <v>720</v>
      </c>
      <c r="C220" s="52"/>
      <c r="D220" s="277"/>
      <c r="E220" s="277"/>
      <c r="F220" s="256">
        <v>340.45</v>
      </c>
      <c r="G220" s="277"/>
      <c r="H220" s="277"/>
      <c r="I220" s="277"/>
      <c r="J220" s="277"/>
      <c r="K220" s="79">
        <f>F220</f>
        <v>340.45</v>
      </c>
      <c r="L220" s="72" t="s">
        <v>39</v>
      </c>
      <c r="M220" s="78"/>
      <c r="N220" s="296"/>
    </row>
    <row r="221" spans="1:14" s="280" customFormat="1" ht="27">
      <c r="A221" s="323" t="s">
        <v>499</v>
      </c>
      <c r="B221" s="54" t="s">
        <v>721</v>
      </c>
      <c r="C221" s="256">
        <v>6</v>
      </c>
      <c r="D221" s="277"/>
      <c r="E221" s="277"/>
      <c r="F221" s="312"/>
      <c r="G221" s="277"/>
      <c r="H221" s="277"/>
      <c r="I221" s="277"/>
      <c r="J221" s="277"/>
      <c r="K221" s="79">
        <f>C221</f>
        <v>6</v>
      </c>
      <c r="L221" s="72" t="s">
        <v>38</v>
      </c>
      <c r="M221" s="78"/>
      <c r="N221" s="296"/>
    </row>
    <row r="222" spans="1:14" s="280" customFormat="1" ht="27">
      <c r="A222" s="323" t="s">
        <v>500</v>
      </c>
      <c r="B222" s="54" t="s">
        <v>722</v>
      </c>
      <c r="C222" s="256">
        <v>6</v>
      </c>
      <c r="D222" s="277"/>
      <c r="E222" s="277"/>
      <c r="F222" s="312"/>
      <c r="G222" s="277"/>
      <c r="H222" s="277"/>
      <c r="I222" s="277"/>
      <c r="J222" s="277"/>
      <c r="K222" s="79">
        <f aca="true" t="shared" si="6" ref="K222:K232">C222</f>
        <v>6</v>
      </c>
      <c r="L222" s="72" t="s">
        <v>38</v>
      </c>
      <c r="M222" s="78"/>
      <c r="N222" s="296"/>
    </row>
    <row r="223" spans="1:14" s="280" customFormat="1" ht="27">
      <c r="A223" s="323" t="s">
        <v>501</v>
      </c>
      <c r="B223" s="54" t="s">
        <v>723</v>
      </c>
      <c r="C223" s="256">
        <v>5</v>
      </c>
      <c r="D223" s="277"/>
      <c r="E223" s="277"/>
      <c r="F223" s="312"/>
      <c r="G223" s="277"/>
      <c r="H223" s="277"/>
      <c r="I223" s="277"/>
      <c r="J223" s="277"/>
      <c r="K223" s="79">
        <f t="shared" si="6"/>
        <v>5</v>
      </c>
      <c r="L223" s="72" t="s">
        <v>38</v>
      </c>
      <c r="M223" s="78"/>
      <c r="N223" s="296"/>
    </row>
    <row r="224" spans="1:14" s="280" customFormat="1" ht="27">
      <c r="A224" s="323" t="s">
        <v>502</v>
      </c>
      <c r="B224" s="64" t="s">
        <v>724</v>
      </c>
      <c r="C224" s="256">
        <v>30</v>
      </c>
      <c r="D224" s="277"/>
      <c r="E224" s="277"/>
      <c r="F224" s="277"/>
      <c r="G224" s="277"/>
      <c r="H224" s="277"/>
      <c r="I224" s="277"/>
      <c r="J224" s="277"/>
      <c r="K224" s="79">
        <f t="shared" si="6"/>
        <v>30</v>
      </c>
      <c r="L224" s="72" t="s">
        <v>38</v>
      </c>
      <c r="M224" s="78"/>
      <c r="N224" s="296"/>
    </row>
    <row r="225" spans="1:14" s="280" customFormat="1" ht="27">
      <c r="A225" s="323" t="s">
        <v>503</v>
      </c>
      <c r="B225" s="64" t="s">
        <v>725</v>
      </c>
      <c r="C225" s="256">
        <v>6</v>
      </c>
      <c r="D225" s="277"/>
      <c r="E225" s="277"/>
      <c r="F225" s="277"/>
      <c r="G225" s="277"/>
      <c r="H225" s="277"/>
      <c r="I225" s="277"/>
      <c r="J225" s="277"/>
      <c r="K225" s="79">
        <f t="shared" si="6"/>
        <v>6</v>
      </c>
      <c r="L225" s="72" t="s">
        <v>38</v>
      </c>
      <c r="M225" s="78"/>
      <c r="N225" s="296"/>
    </row>
    <row r="226" spans="1:14" s="280" customFormat="1" ht="27">
      <c r="A226" s="323" t="s">
        <v>504</v>
      </c>
      <c r="B226" s="54" t="s">
        <v>726</v>
      </c>
      <c r="C226" s="256">
        <v>2</v>
      </c>
      <c r="D226" s="277"/>
      <c r="E226" s="277"/>
      <c r="F226" s="277"/>
      <c r="G226" s="277"/>
      <c r="H226" s="277"/>
      <c r="I226" s="277"/>
      <c r="J226" s="277"/>
      <c r="K226" s="79">
        <f t="shared" si="6"/>
        <v>2</v>
      </c>
      <c r="L226" s="72" t="s">
        <v>38</v>
      </c>
      <c r="M226" s="78"/>
      <c r="N226" s="296"/>
    </row>
    <row r="227" spans="1:14" s="280" customFormat="1" ht="40.5">
      <c r="A227" s="323" t="s">
        <v>505</v>
      </c>
      <c r="B227" s="54" t="s">
        <v>727</v>
      </c>
      <c r="C227" s="256">
        <v>13</v>
      </c>
      <c r="D227" s="277"/>
      <c r="E227" s="277"/>
      <c r="F227" s="277"/>
      <c r="G227" s="277"/>
      <c r="H227" s="277"/>
      <c r="I227" s="277"/>
      <c r="J227" s="277"/>
      <c r="K227" s="79">
        <f t="shared" si="6"/>
        <v>13</v>
      </c>
      <c r="L227" s="72" t="s">
        <v>38</v>
      </c>
      <c r="M227" s="78"/>
      <c r="N227" s="296"/>
    </row>
    <row r="228" spans="1:14" s="280" customFormat="1" ht="27">
      <c r="A228" s="323" t="s">
        <v>506</v>
      </c>
      <c r="B228" s="54" t="s">
        <v>728</v>
      </c>
      <c r="C228" s="256">
        <v>44</v>
      </c>
      <c r="D228" s="277"/>
      <c r="E228" s="277"/>
      <c r="F228" s="277"/>
      <c r="G228" s="277"/>
      <c r="H228" s="277"/>
      <c r="I228" s="277"/>
      <c r="J228" s="277"/>
      <c r="K228" s="79">
        <f t="shared" si="6"/>
        <v>44</v>
      </c>
      <c r="L228" s="72" t="s">
        <v>38</v>
      </c>
      <c r="M228" s="78"/>
      <c r="N228" s="296"/>
    </row>
    <row r="229" spans="1:14" s="280" customFormat="1" ht="40.5">
      <c r="A229" s="323" t="s">
        <v>507</v>
      </c>
      <c r="B229" s="54" t="s">
        <v>729</v>
      </c>
      <c r="C229" s="256">
        <v>2</v>
      </c>
      <c r="D229" s="277"/>
      <c r="E229" s="277"/>
      <c r="F229" s="277"/>
      <c r="G229" s="277"/>
      <c r="H229" s="277"/>
      <c r="I229" s="277"/>
      <c r="J229" s="277"/>
      <c r="K229" s="79">
        <f t="shared" si="6"/>
        <v>2</v>
      </c>
      <c r="L229" s="72" t="s">
        <v>38</v>
      </c>
      <c r="M229" s="78"/>
      <c r="N229" s="296"/>
    </row>
    <row r="230" spans="1:14" s="280" customFormat="1" ht="27">
      <c r="A230" s="323" t="s">
        <v>508</v>
      </c>
      <c r="B230" s="64" t="s">
        <v>730</v>
      </c>
      <c r="C230" s="256">
        <v>6</v>
      </c>
      <c r="D230" s="277"/>
      <c r="E230" s="277"/>
      <c r="F230" s="277"/>
      <c r="G230" s="277"/>
      <c r="H230" s="277"/>
      <c r="I230" s="277"/>
      <c r="J230" s="277"/>
      <c r="K230" s="79">
        <f t="shared" si="6"/>
        <v>6</v>
      </c>
      <c r="L230" s="72" t="s">
        <v>38</v>
      </c>
      <c r="M230" s="78"/>
      <c r="N230" s="296"/>
    </row>
    <row r="231" spans="1:14" s="280" customFormat="1" ht="27">
      <c r="A231" s="323" t="s">
        <v>509</v>
      </c>
      <c r="B231" s="64" t="s">
        <v>731</v>
      </c>
      <c r="C231" s="256">
        <v>7</v>
      </c>
      <c r="D231" s="277"/>
      <c r="E231" s="277"/>
      <c r="F231" s="277"/>
      <c r="G231" s="277"/>
      <c r="H231" s="277"/>
      <c r="I231" s="277"/>
      <c r="J231" s="277"/>
      <c r="K231" s="79">
        <f t="shared" si="6"/>
        <v>7</v>
      </c>
      <c r="L231" s="72" t="s">
        <v>38</v>
      </c>
      <c r="M231" s="78"/>
      <c r="N231" s="296"/>
    </row>
    <row r="232" spans="1:14" s="280" customFormat="1" ht="27">
      <c r="A232" s="323" t="s">
        <v>510</v>
      </c>
      <c r="B232" s="64" t="s">
        <v>732</v>
      </c>
      <c r="C232" s="256">
        <v>2</v>
      </c>
      <c r="D232" s="277"/>
      <c r="E232" s="277"/>
      <c r="F232" s="277"/>
      <c r="G232" s="277"/>
      <c r="H232" s="277"/>
      <c r="I232" s="277"/>
      <c r="J232" s="277"/>
      <c r="K232" s="79">
        <f t="shared" si="6"/>
        <v>2</v>
      </c>
      <c r="L232" s="72" t="s">
        <v>38</v>
      </c>
      <c r="M232" s="78"/>
      <c r="N232" s="296"/>
    </row>
    <row r="233" spans="1:13" s="280" customFormat="1" ht="15">
      <c r="A233" s="311"/>
      <c r="B233" s="290" t="s">
        <v>489</v>
      </c>
      <c r="C233" s="293" t="s">
        <v>19</v>
      </c>
      <c r="D233" s="75"/>
      <c r="E233" s="76"/>
      <c r="F233" s="75" t="s">
        <v>29</v>
      </c>
      <c r="G233" s="75"/>
      <c r="H233" s="75"/>
      <c r="I233" s="75"/>
      <c r="J233" s="75"/>
      <c r="K233" s="77"/>
      <c r="L233" s="77"/>
      <c r="M233" s="78"/>
    </row>
    <row r="234" spans="1:14" s="280" customFormat="1" ht="40.5">
      <c r="A234" s="323" t="s">
        <v>511</v>
      </c>
      <c r="B234" s="54" t="s">
        <v>733</v>
      </c>
      <c r="C234" s="256">
        <v>1</v>
      </c>
      <c r="D234" s="277"/>
      <c r="E234" s="277"/>
      <c r="F234" s="277"/>
      <c r="G234" s="277"/>
      <c r="H234" s="277"/>
      <c r="I234" s="277"/>
      <c r="J234" s="277"/>
      <c r="K234" s="79">
        <f>C234</f>
        <v>1</v>
      </c>
      <c r="L234" s="72" t="s">
        <v>38</v>
      </c>
      <c r="M234" s="78"/>
      <c r="N234" s="296"/>
    </row>
    <row r="235" spans="1:14" s="280" customFormat="1" ht="27">
      <c r="A235" s="323" t="s">
        <v>513</v>
      </c>
      <c r="B235" s="54" t="s">
        <v>512</v>
      </c>
      <c r="C235" s="256"/>
      <c r="D235" s="277"/>
      <c r="E235" s="277"/>
      <c r="F235" s="256">
        <v>1.5</v>
      </c>
      <c r="G235" s="277"/>
      <c r="H235" s="277"/>
      <c r="I235" s="277"/>
      <c r="J235" s="277"/>
      <c r="K235" s="79">
        <f>F235</f>
        <v>1.5</v>
      </c>
      <c r="L235" s="285" t="s">
        <v>39</v>
      </c>
      <c r="M235" s="78"/>
      <c r="N235" s="296"/>
    </row>
    <row r="236" spans="1:14" s="280" customFormat="1" ht="40.5">
      <c r="A236" s="323" t="s">
        <v>514</v>
      </c>
      <c r="B236" s="54" t="s">
        <v>734</v>
      </c>
      <c r="C236" s="256">
        <v>4</v>
      </c>
      <c r="D236" s="277"/>
      <c r="E236" s="277"/>
      <c r="F236" s="277"/>
      <c r="G236" s="277"/>
      <c r="H236" s="277"/>
      <c r="I236" s="277"/>
      <c r="J236" s="277"/>
      <c r="K236" s="79">
        <f aca="true" t="shared" si="7" ref="K236:K241">C236</f>
        <v>4</v>
      </c>
      <c r="L236" s="72" t="s">
        <v>38</v>
      </c>
      <c r="M236" s="78"/>
      <c r="N236" s="296"/>
    </row>
    <row r="237" spans="1:14" s="280" customFormat="1" ht="40.5">
      <c r="A237" s="323" t="s">
        <v>515</v>
      </c>
      <c r="B237" s="54" t="s">
        <v>735</v>
      </c>
      <c r="C237" s="256">
        <v>2</v>
      </c>
      <c r="D237" s="277"/>
      <c r="E237" s="277"/>
      <c r="F237" s="277"/>
      <c r="G237" s="277"/>
      <c r="H237" s="277"/>
      <c r="I237" s="277"/>
      <c r="J237" s="277"/>
      <c r="K237" s="79">
        <f t="shared" si="7"/>
        <v>2</v>
      </c>
      <c r="L237" s="72" t="s">
        <v>38</v>
      </c>
      <c r="M237" s="78"/>
      <c r="N237" s="296"/>
    </row>
    <row r="238" spans="1:14" s="280" customFormat="1" ht="40.5">
      <c r="A238" s="323" t="s">
        <v>516</v>
      </c>
      <c r="B238" s="54" t="s">
        <v>736</v>
      </c>
      <c r="C238" s="256">
        <v>4</v>
      </c>
      <c r="D238" s="277"/>
      <c r="E238" s="277"/>
      <c r="F238" s="277"/>
      <c r="G238" s="277"/>
      <c r="H238" s="277"/>
      <c r="I238" s="277"/>
      <c r="J238" s="277"/>
      <c r="K238" s="79">
        <f t="shared" si="7"/>
        <v>4</v>
      </c>
      <c r="L238" s="72" t="s">
        <v>38</v>
      </c>
      <c r="M238" s="78"/>
      <c r="N238" s="296"/>
    </row>
    <row r="239" spans="1:14" s="280" customFormat="1" ht="27">
      <c r="A239" s="323" t="s">
        <v>517</v>
      </c>
      <c r="B239" s="64" t="s">
        <v>737</v>
      </c>
      <c r="C239" s="256">
        <v>1</v>
      </c>
      <c r="D239" s="277"/>
      <c r="E239" s="277"/>
      <c r="F239" s="277"/>
      <c r="G239" s="277"/>
      <c r="H239" s="277"/>
      <c r="I239" s="277"/>
      <c r="J239" s="277"/>
      <c r="K239" s="79">
        <f t="shared" si="7"/>
        <v>1</v>
      </c>
      <c r="L239" s="72" t="s">
        <v>38</v>
      </c>
      <c r="M239" s="78"/>
      <c r="N239" s="296"/>
    </row>
    <row r="240" spans="1:14" s="280" customFormat="1" ht="27">
      <c r="A240" s="323" t="s">
        <v>518</v>
      </c>
      <c r="B240" s="64" t="s">
        <v>738</v>
      </c>
      <c r="C240" s="256">
        <v>1</v>
      </c>
      <c r="D240" s="277"/>
      <c r="E240" s="277"/>
      <c r="F240" s="277"/>
      <c r="G240" s="277"/>
      <c r="H240" s="277"/>
      <c r="I240" s="277"/>
      <c r="J240" s="277"/>
      <c r="K240" s="79">
        <f t="shared" si="7"/>
        <v>1</v>
      </c>
      <c r="L240" s="72" t="s">
        <v>38</v>
      </c>
      <c r="M240" s="78"/>
      <c r="N240" s="296"/>
    </row>
    <row r="241" spans="1:14" s="280" customFormat="1" ht="27">
      <c r="A241" s="323" t="s">
        <v>519</v>
      </c>
      <c r="B241" s="64" t="s">
        <v>739</v>
      </c>
      <c r="C241" s="256">
        <v>1</v>
      </c>
      <c r="D241" s="277"/>
      <c r="E241" s="277"/>
      <c r="F241" s="277"/>
      <c r="G241" s="277"/>
      <c r="H241" s="277"/>
      <c r="I241" s="277"/>
      <c r="J241" s="277"/>
      <c r="K241" s="79">
        <f t="shared" si="7"/>
        <v>1</v>
      </c>
      <c r="L241" s="72" t="s">
        <v>38</v>
      </c>
      <c r="M241" s="78"/>
      <c r="N241" s="296"/>
    </row>
    <row r="242" spans="1:14" s="280" customFormat="1" ht="40.5">
      <c r="A242" s="323" t="s">
        <v>520</v>
      </c>
      <c r="B242" s="54" t="s">
        <v>740</v>
      </c>
      <c r="C242" s="52"/>
      <c r="D242" s="277"/>
      <c r="E242" s="277"/>
      <c r="F242" s="256">
        <v>100</v>
      </c>
      <c r="G242" s="277"/>
      <c r="H242" s="277"/>
      <c r="I242" s="277"/>
      <c r="J242" s="277"/>
      <c r="K242" s="79">
        <f>F242</f>
        <v>100</v>
      </c>
      <c r="L242" s="285" t="s">
        <v>39</v>
      </c>
      <c r="M242" s="78"/>
      <c r="N242" s="296"/>
    </row>
    <row r="243" spans="1:13" ht="18" customHeight="1">
      <c r="A243" s="20" t="s">
        <v>234</v>
      </c>
      <c r="B243" s="237" t="s">
        <v>233</v>
      </c>
      <c r="C243" s="22" t="s">
        <v>19</v>
      </c>
      <c r="D243" s="344" t="s">
        <v>20</v>
      </c>
      <c r="E243" s="345"/>
      <c r="F243" s="345"/>
      <c r="G243" s="346"/>
      <c r="H243" s="23"/>
      <c r="I243" s="23"/>
      <c r="J243" s="23"/>
      <c r="K243" s="22" t="s">
        <v>21</v>
      </c>
      <c r="L243" s="22" t="s">
        <v>22</v>
      </c>
      <c r="M243" s="24"/>
    </row>
    <row r="244" spans="1:13" s="60" customFormat="1" ht="15">
      <c r="A244" s="57"/>
      <c r="B244" s="58"/>
      <c r="C244" s="58"/>
      <c r="D244" s="62" t="s">
        <v>23</v>
      </c>
      <c r="E244" s="63" t="s">
        <v>24</v>
      </c>
      <c r="F244" s="62" t="s">
        <v>29</v>
      </c>
      <c r="G244" s="62" t="s">
        <v>30</v>
      </c>
      <c r="H244" s="62"/>
      <c r="I244" s="62" t="s">
        <v>31</v>
      </c>
      <c r="J244" s="62"/>
      <c r="K244" s="61"/>
      <c r="L244" s="61"/>
      <c r="M244" s="59"/>
    </row>
    <row r="245" spans="1:13" s="60" customFormat="1" ht="15">
      <c r="A245" s="291"/>
      <c r="B245" s="290" t="s">
        <v>377</v>
      </c>
      <c r="C245" s="291" t="s">
        <v>19</v>
      </c>
      <c r="D245" s="62"/>
      <c r="E245" s="63"/>
      <c r="F245" s="62"/>
      <c r="G245" s="62"/>
      <c r="H245" s="62"/>
      <c r="I245" s="62"/>
      <c r="J245" s="62"/>
      <c r="K245" s="61"/>
      <c r="L245" s="61"/>
      <c r="M245" s="59"/>
    </row>
    <row r="246" spans="1:14" ht="27">
      <c r="A246" s="278" t="s">
        <v>236</v>
      </c>
      <c r="B246" s="90" t="s">
        <v>742</v>
      </c>
      <c r="C246" s="256">
        <v>4</v>
      </c>
      <c r="D246" s="69"/>
      <c r="E246" s="69"/>
      <c r="F246" s="69"/>
      <c r="G246" s="69"/>
      <c r="H246" s="69"/>
      <c r="I246" s="3"/>
      <c r="J246" s="3"/>
      <c r="K246" s="79">
        <f>C246</f>
        <v>4</v>
      </c>
      <c r="L246" s="72" t="s">
        <v>38</v>
      </c>
      <c r="M246" s="65"/>
      <c r="N246" s="296"/>
    </row>
    <row r="247" spans="1:14" s="84" customFormat="1" ht="27">
      <c r="A247" s="278" t="s">
        <v>237</v>
      </c>
      <c r="B247" s="90" t="s">
        <v>743</v>
      </c>
      <c r="C247" s="256">
        <v>5</v>
      </c>
      <c r="D247" s="69"/>
      <c r="E247" s="69"/>
      <c r="F247" s="69"/>
      <c r="G247" s="69"/>
      <c r="H247" s="69"/>
      <c r="I247" s="3"/>
      <c r="J247" s="3"/>
      <c r="K247" s="79">
        <f>C247</f>
        <v>5</v>
      </c>
      <c r="L247" s="72" t="s">
        <v>38</v>
      </c>
      <c r="M247" s="65"/>
      <c r="N247" s="296"/>
    </row>
    <row r="248" spans="1:13" s="60" customFormat="1" ht="15">
      <c r="A248" s="291"/>
      <c r="B248" s="290" t="s">
        <v>378</v>
      </c>
      <c r="C248" s="58"/>
      <c r="D248" s="62"/>
      <c r="E248" s="63"/>
      <c r="F248" s="62"/>
      <c r="G248" s="62"/>
      <c r="H248" s="62"/>
      <c r="I248" s="62"/>
      <c r="J248" s="62"/>
      <c r="K248" s="61"/>
      <c r="L248" s="61"/>
      <c r="M248" s="59"/>
    </row>
    <row r="249" spans="1:14" ht="27">
      <c r="A249" s="278" t="s">
        <v>541</v>
      </c>
      <c r="B249" s="343" t="s">
        <v>741</v>
      </c>
      <c r="C249" s="256">
        <v>21</v>
      </c>
      <c r="D249" s="69"/>
      <c r="E249" s="69"/>
      <c r="F249" s="69"/>
      <c r="G249" s="69"/>
      <c r="H249" s="69"/>
      <c r="I249" s="3"/>
      <c r="J249" s="3"/>
      <c r="K249" s="79">
        <f>C249</f>
        <v>21</v>
      </c>
      <c r="L249" s="72" t="s">
        <v>38</v>
      </c>
      <c r="M249" s="98"/>
      <c r="N249" s="296"/>
    </row>
    <row r="250" spans="1:14" ht="27">
      <c r="A250" s="278" t="s">
        <v>542</v>
      </c>
      <c r="B250" s="90" t="s">
        <v>744</v>
      </c>
      <c r="C250" s="256">
        <v>19</v>
      </c>
      <c r="D250" s="69"/>
      <c r="E250" s="69"/>
      <c r="F250" s="69"/>
      <c r="G250" s="69"/>
      <c r="H250" s="69"/>
      <c r="I250" s="3"/>
      <c r="J250" s="3"/>
      <c r="K250" s="79">
        <f>C250</f>
        <v>19</v>
      </c>
      <c r="L250" s="72" t="s">
        <v>38</v>
      </c>
      <c r="M250" s="98"/>
      <c r="N250" s="296"/>
    </row>
    <row r="251" spans="1:13" s="84" customFormat="1" ht="18" customHeight="1">
      <c r="A251" s="20" t="s">
        <v>238</v>
      </c>
      <c r="B251" s="237" t="s">
        <v>235</v>
      </c>
      <c r="C251" s="22" t="s">
        <v>19</v>
      </c>
      <c r="D251" s="344" t="s">
        <v>20</v>
      </c>
      <c r="E251" s="345"/>
      <c r="F251" s="345"/>
      <c r="G251" s="346"/>
      <c r="H251" s="23"/>
      <c r="I251" s="23"/>
      <c r="J251" s="23"/>
      <c r="K251" s="22" t="s">
        <v>21</v>
      </c>
      <c r="L251" s="22" t="s">
        <v>22</v>
      </c>
      <c r="M251" s="24"/>
    </row>
    <row r="252" spans="1:13" s="84" customFormat="1" ht="15">
      <c r="A252" s="293"/>
      <c r="B252" s="290" t="s">
        <v>327</v>
      </c>
      <c r="C252" s="293" t="s">
        <v>19</v>
      </c>
      <c r="D252" s="75" t="s">
        <v>23</v>
      </c>
      <c r="E252" s="76" t="s">
        <v>24</v>
      </c>
      <c r="F252" s="75" t="s">
        <v>29</v>
      </c>
      <c r="G252" s="75" t="s">
        <v>30</v>
      </c>
      <c r="H252" s="75"/>
      <c r="I252" s="75"/>
      <c r="J252" s="75"/>
      <c r="K252" s="77"/>
      <c r="L252" s="77"/>
      <c r="M252" s="186"/>
    </row>
    <row r="253" spans="1:14" s="84" customFormat="1" ht="27">
      <c r="A253" s="313" t="s">
        <v>239</v>
      </c>
      <c r="B253" s="314" t="s">
        <v>745</v>
      </c>
      <c r="C253" s="69"/>
      <c r="D253" s="69"/>
      <c r="E253" s="69"/>
      <c r="F253" s="69"/>
      <c r="G253" s="69"/>
      <c r="H253" s="69"/>
      <c r="I253" s="3"/>
      <c r="J253" s="3"/>
      <c r="K253" s="284">
        <f>K254+K255</f>
        <v>34.4</v>
      </c>
      <c r="L253" s="48" t="s">
        <v>54</v>
      </c>
      <c r="M253" s="99"/>
      <c r="N253" s="296"/>
    </row>
    <row r="254" spans="1:14" s="84" customFormat="1" ht="15">
      <c r="A254" s="55"/>
      <c r="B254" s="70" t="s">
        <v>344</v>
      </c>
      <c r="C254" s="69"/>
      <c r="D254" s="256">
        <v>0.25</v>
      </c>
      <c r="E254" s="69"/>
      <c r="F254" s="256">
        <v>16</v>
      </c>
      <c r="G254" s="256">
        <f>D254*F254</f>
        <v>4</v>
      </c>
      <c r="H254" s="69"/>
      <c r="I254" s="3"/>
      <c r="J254" s="3"/>
      <c r="K254" s="69">
        <f>F254</f>
        <v>16</v>
      </c>
      <c r="L254" s="72" t="s">
        <v>54</v>
      </c>
      <c r="M254" s="186" t="s">
        <v>244</v>
      </c>
      <c r="N254" s="296"/>
    </row>
    <row r="255" spans="1:14" s="84" customFormat="1" ht="15">
      <c r="A255" s="55"/>
      <c r="B255" s="70" t="s">
        <v>345</v>
      </c>
      <c r="C255" s="69"/>
      <c r="D255" s="256">
        <v>0.25</v>
      </c>
      <c r="E255" s="69"/>
      <c r="F255" s="256">
        <v>18.4</v>
      </c>
      <c r="G255" s="256">
        <f>D255*F255</f>
        <v>4.6</v>
      </c>
      <c r="H255" s="69"/>
      <c r="I255" s="3"/>
      <c r="J255" s="3"/>
      <c r="K255" s="69">
        <f>F255</f>
        <v>18.4</v>
      </c>
      <c r="L255" s="72" t="s">
        <v>54</v>
      </c>
      <c r="M255" s="186" t="s">
        <v>244</v>
      </c>
      <c r="N255" s="296"/>
    </row>
    <row r="256" spans="1:14" s="280" customFormat="1" ht="15">
      <c r="A256" s="313" t="s">
        <v>240</v>
      </c>
      <c r="B256" s="314" t="s">
        <v>374</v>
      </c>
      <c r="C256" s="69"/>
      <c r="D256" s="256"/>
      <c r="E256" s="69"/>
      <c r="F256" s="256"/>
      <c r="G256" s="256"/>
      <c r="H256" s="69"/>
      <c r="I256" s="277"/>
      <c r="J256" s="277"/>
      <c r="K256" s="284">
        <f>K258+K257</f>
        <v>25</v>
      </c>
      <c r="L256" s="48" t="s">
        <v>54</v>
      </c>
      <c r="M256" s="186"/>
      <c r="N256" s="296"/>
    </row>
    <row r="257" spans="1:14" s="84" customFormat="1" ht="15">
      <c r="A257" s="55"/>
      <c r="B257" s="70" t="s">
        <v>328</v>
      </c>
      <c r="C257" s="69"/>
      <c r="D257" s="256">
        <v>0.25</v>
      </c>
      <c r="E257" s="69"/>
      <c r="F257" s="256">
        <v>10</v>
      </c>
      <c r="G257" s="256">
        <f>D257*F257</f>
        <v>2.5</v>
      </c>
      <c r="H257" s="69"/>
      <c r="I257" s="3"/>
      <c r="J257" s="3"/>
      <c r="K257" s="69">
        <f>F257</f>
        <v>10</v>
      </c>
      <c r="L257" s="72" t="s">
        <v>54</v>
      </c>
      <c r="M257" s="186" t="s">
        <v>244</v>
      </c>
      <c r="N257" s="296"/>
    </row>
    <row r="258" spans="1:14" s="84" customFormat="1" ht="15">
      <c r="A258" s="55"/>
      <c r="B258" s="70" t="s">
        <v>329</v>
      </c>
      <c r="C258" s="69"/>
      <c r="D258" s="256">
        <v>0.25</v>
      </c>
      <c r="E258" s="69"/>
      <c r="F258" s="256">
        <v>15</v>
      </c>
      <c r="G258" s="256">
        <f>D258*F258</f>
        <v>3.75</v>
      </c>
      <c r="H258" s="69"/>
      <c r="I258" s="3"/>
      <c r="J258" s="3"/>
      <c r="K258" s="69">
        <f>F258</f>
        <v>15</v>
      </c>
      <c r="L258" s="72" t="s">
        <v>54</v>
      </c>
      <c r="M258" s="186" t="s">
        <v>244</v>
      </c>
      <c r="N258" s="296"/>
    </row>
    <row r="259" spans="1:14" s="280" customFormat="1" ht="54">
      <c r="A259" s="313" t="s">
        <v>241</v>
      </c>
      <c r="B259" s="314" t="s">
        <v>342</v>
      </c>
      <c r="C259" s="69"/>
      <c r="D259" s="69"/>
      <c r="E259" s="69"/>
      <c r="F259" s="69"/>
      <c r="G259" s="69"/>
      <c r="H259" s="69"/>
      <c r="I259" s="277"/>
      <c r="J259" s="277"/>
      <c r="K259" s="315">
        <f>K260+K261</f>
        <v>14</v>
      </c>
      <c r="L259" s="48" t="s">
        <v>54</v>
      </c>
      <c r="M259" s="99" t="s">
        <v>343</v>
      </c>
      <c r="N259" s="296"/>
    </row>
    <row r="260" spans="1:14" ht="15">
      <c r="A260" s="55"/>
      <c r="B260" s="70" t="s">
        <v>330</v>
      </c>
      <c r="C260" s="69"/>
      <c r="D260" s="69"/>
      <c r="E260" s="69"/>
      <c r="F260" s="256">
        <v>12.5</v>
      </c>
      <c r="G260" s="69"/>
      <c r="H260" s="69"/>
      <c r="I260" s="3"/>
      <c r="J260" s="3"/>
      <c r="K260" s="69">
        <f>F260</f>
        <v>12.5</v>
      </c>
      <c r="L260" s="72" t="s">
        <v>54</v>
      </c>
      <c r="M260" s="186" t="s">
        <v>244</v>
      </c>
      <c r="N260" s="296"/>
    </row>
    <row r="261" spans="1:14" s="280" customFormat="1" ht="15">
      <c r="A261" s="278"/>
      <c r="B261" s="70" t="s">
        <v>331</v>
      </c>
      <c r="C261" s="69"/>
      <c r="D261" s="69"/>
      <c r="E261" s="69"/>
      <c r="F261" s="256">
        <v>1.5</v>
      </c>
      <c r="G261" s="69"/>
      <c r="H261" s="69"/>
      <c r="I261" s="277"/>
      <c r="J261" s="277"/>
      <c r="K261" s="69">
        <f>F261</f>
        <v>1.5</v>
      </c>
      <c r="L261" s="72" t="s">
        <v>54</v>
      </c>
      <c r="M261" s="186" t="s">
        <v>244</v>
      </c>
      <c r="N261" s="296"/>
    </row>
    <row r="262" spans="1:14" s="280" customFormat="1" ht="54">
      <c r="A262" s="313" t="s">
        <v>326</v>
      </c>
      <c r="B262" s="314" t="s">
        <v>332</v>
      </c>
      <c r="C262" s="69"/>
      <c r="D262" s="69"/>
      <c r="E262" s="256">
        <f>0.29*1.5</f>
        <v>0.43499999999999994</v>
      </c>
      <c r="F262" s="256">
        <f>(2.3*2)+(2.26)*2+(1.5*2)+1.5+1.5+1.5</f>
        <v>16.619999999999997</v>
      </c>
      <c r="G262" s="256">
        <f>E262*F262</f>
        <v>7.229699999999998</v>
      </c>
      <c r="H262" s="69"/>
      <c r="I262" s="277"/>
      <c r="J262" s="277"/>
      <c r="K262" s="282">
        <f>G262</f>
        <v>7.229699999999998</v>
      </c>
      <c r="L262" s="278" t="s">
        <v>37</v>
      </c>
      <c r="M262" s="186" t="s">
        <v>244</v>
      </c>
      <c r="N262" s="296"/>
    </row>
    <row r="263" spans="1:13" s="84" customFormat="1" ht="15">
      <c r="A263" s="293"/>
      <c r="B263" s="290" t="s">
        <v>404</v>
      </c>
      <c r="C263" s="74"/>
      <c r="D263" s="75" t="s">
        <v>23</v>
      </c>
      <c r="E263" s="76" t="s">
        <v>24</v>
      </c>
      <c r="F263" s="75" t="s">
        <v>29</v>
      </c>
      <c r="G263" s="75" t="s">
        <v>30</v>
      </c>
      <c r="H263" s="75"/>
      <c r="I263" s="75" t="s">
        <v>31</v>
      </c>
      <c r="J263" s="75"/>
      <c r="K263" s="77"/>
      <c r="L263" s="77"/>
      <c r="M263" s="186"/>
    </row>
    <row r="264" spans="1:14" s="84" customFormat="1" ht="54">
      <c r="A264" s="313" t="s">
        <v>543</v>
      </c>
      <c r="B264" s="90" t="s">
        <v>746</v>
      </c>
      <c r="C264" s="69"/>
      <c r="D264" s="69"/>
      <c r="E264" s="256">
        <v>1.1</v>
      </c>
      <c r="F264" s="256">
        <f>0.6+0.6+1.5</f>
        <v>2.7</v>
      </c>
      <c r="G264" s="256">
        <f>E264*F264</f>
        <v>2.9700000000000006</v>
      </c>
      <c r="H264" s="69"/>
      <c r="I264" s="55"/>
      <c r="J264" s="55"/>
      <c r="K264" s="282">
        <f>G264</f>
        <v>2.9700000000000006</v>
      </c>
      <c r="L264" s="278" t="s">
        <v>37</v>
      </c>
      <c r="M264" s="283" t="s">
        <v>373</v>
      </c>
      <c r="N264" s="296"/>
    </row>
    <row r="265" spans="1:14" s="84" customFormat="1" ht="40.5">
      <c r="A265" s="313" t="s">
        <v>544</v>
      </c>
      <c r="B265" s="90" t="s">
        <v>747</v>
      </c>
      <c r="C265" s="69"/>
      <c r="D265" s="256">
        <v>1.5</v>
      </c>
      <c r="E265" s="256"/>
      <c r="F265" s="256">
        <v>0.7</v>
      </c>
      <c r="G265" s="256">
        <f>D265*F265</f>
        <v>1.0499999999999998</v>
      </c>
      <c r="H265" s="69"/>
      <c r="I265" s="55"/>
      <c r="J265" s="55"/>
      <c r="K265" s="282">
        <f>G265</f>
        <v>1.0499999999999998</v>
      </c>
      <c r="L265" s="278" t="s">
        <v>37</v>
      </c>
      <c r="M265" s="186" t="s">
        <v>244</v>
      </c>
      <c r="N265" s="296"/>
    </row>
    <row r="266" spans="1:14" s="84" customFormat="1" ht="45" customHeight="1">
      <c r="A266" s="313" t="s">
        <v>545</v>
      </c>
      <c r="B266" s="90" t="s">
        <v>626</v>
      </c>
      <c r="C266" s="256">
        <v>1</v>
      </c>
      <c r="D266" s="69"/>
      <c r="E266" s="256"/>
      <c r="F266" s="256"/>
      <c r="G266" s="256"/>
      <c r="H266" s="69"/>
      <c r="I266" s="55"/>
      <c r="J266" s="55"/>
      <c r="K266" s="282">
        <f>C266</f>
        <v>1</v>
      </c>
      <c r="L266" s="278" t="s">
        <v>37</v>
      </c>
      <c r="M266" s="186" t="s">
        <v>244</v>
      </c>
      <c r="N266" s="296"/>
    </row>
    <row r="267" spans="1:14" s="84" customFormat="1" ht="27">
      <c r="A267" s="313" t="s">
        <v>546</v>
      </c>
      <c r="B267" s="90" t="s">
        <v>748</v>
      </c>
      <c r="C267" s="256">
        <v>2</v>
      </c>
      <c r="D267" s="69"/>
      <c r="E267" s="256"/>
      <c r="F267" s="256"/>
      <c r="G267" s="256"/>
      <c r="H267" s="69"/>
      <c r="I267" s="55"/>
      <c r="J267" s="55"/>
      <c r="K267" s="282">
        <f>C267</f>
        <v>2</v>
      </c>
      <c r="L267" s="278" t="s">
        <v>38</v>
      </c>
      <c r="M267" s="186" t="s">
        <v>244</v>
      </c>
      <c r="N267" s="296"/>
    </row>
    <row r="268" spans="1:14" s="84" customFormat="1" ht="40.5">
      <c r="A268" s="313" t="s">
        <v>547</v>
      </c>
      <c r="B268" s="90" t="s">
        <v>749</v>
      </c>
      <c r="C268" s="256">
        <v>1</v>
      </c>
      <c r="D268" s="69"/>
      <c r="E268" s="256"/>
      <c r="F268" s="256"/>
      <c r="G268" s="256"/>
      <c r="H268" s="69"/>
      <c r="I268" s="55"/>
      <c r="J268" s="55"/>
      <c r="K268" s="282">
        <f>C268</f>
        <v>1</v>
      </c>
      <c r="L268" s="278" t="s">
        <v>38</v>
      </c>
      <c r="M268" s="186" t="s">
        <v>244</v>
      </c>
      <c r="N268" s="296"/>
    </row>
    <row r="269" spans="1:14" s="84" customFormat="1" ht="35.25" customHeight="1">
      <c r="A269" s="313" t="s">
        <v>548</v>
      </c>
      <c r="B269" s="248" t="s">
        <v>610</v>
      </c>
      <c r="C269" s="69"/>
      <c r="D269" s="69"/>
      <c r="E269" s="256">
        <f>E264</f>
        <v>1.1</v>
      </c>
      <c r="F269" s="256">
        <f>F264*2</f>
        <v>5.4</v>
      </c>
      <c r="G269" s="256">
        <f>E269*F269</f>
        <v>5.940000000000001</v>
      </c>
      <c r="H269" s="69"/>
      <c r="I269" s="55"/>
      <c r="J269" s="55"/>
      <c r="K269" s="282">
        <f>G269</f>
        <v>5.940000000000001</v>
      </c>
      <c r="L269" s="278" t="s">
        <v>37</v>
      </c>
      <c r="M269" s="186" t="s">
        <v>244</v>
      </c>
      <c r="N269" s="296"/>
    </row>
    <row r="270" spans="1:14" s="84" customFormat="1" ht="36">
      <c r="A270" s="313" t="s">
        <v>549</v>
      </c>
      <c r="B270" s="248" t="s">
        <v>611</v>
      </c>
      <c r="C270" s="69"/>
      <c r="D270" s="69"/>
      <c r="E270" s="256">
        <f>E264</f>
        <v>1.1</v>
      </c>
      <c r="F270" s="256">
        <f>F269</f>
        <v>5.4</v>
      </c>
      <c r="G270" s="256">
        <f>E270*F270</f>
        <v>5.940000000000001</v>
      </c>
      <c r="H270" s="69"/>
      <c r="I270" s="89"/>
      <c r="J270" s="264"/>
      <c r="K270" s="282">
        <f>G270</f>
        <v>5.940000000000001</v>
      </c>
      <c r="L270" s="278" t="s">
        <v>37</v>
      </c>
      <c r="M270" s="186" t="s">
        <v>244</v>
      </c>
      <c r="N270" s="296"/>
    </row>
    <row r="271" spans="1:14" s="280" customFormat="1" ht="24">
      <c r="A271" s="313" t="s">
        <v>550</v>
      </c>
      <c r="B271" s="248" t="s">
        <v>632</v>
      </c>
      <c r="C271" s="69"/>
      <c r="D271" s="69"/>
      <c r="E271" s="256">
        <f>E264</f>
        <v>1.1</v>
      </c>
      <c r="F271" s="256">
        <f>F269</f>
        <v>5.4</v>
      </c>
      <c r="G271" s="256">
        <f>E271*F271</f>
        <v>5.940000000000001</v>
      </c>
      <c r="H271" s="69"/>
      <c r="I271" s="276"/>
      <c r="J271" s="276"/>
      <c r="K271" s="282">
        <f>G271</f>
        <v>5.940000000000001</v>
      </c>
      <c r="L271" s="278" t="s">
        <v>37</v>
      </c>
      <c r="M271" s="186" t="s">
        <v>244</v>
      </c>
      <c r="N271" s="296"/>
    </row>
    <row r="272" spans="1:14" s="280" customFormat="1" ht="24">
      <c r="A272" s="313" t="s">
        <v>551</v>
      </c>
      <c r="B272" s="248" t="s">
        <v>633</v>
      </c>
      <c r="C272" s="69"/>
      <c r="D272" s="69"/>
      <c r="E272" s="256">
        <f>E264</f>
        <v>1.1</v>
      </c>
      <c r="F272" s="256">
        <f>F269</f>
        <v>5.4</v>
      </c>
      <c r="G272" s="256">
        <f>E272*F272</f>
        <v>5.940000000000001</v>
      </c>
      <c r="H272" s="69"/>
      <c r="I272" s="276"/>
      <c r="J272" s="276"/>
      <c r="K272" s="282">
        <f>G272</f>
        <v>5.940000000000001</v>
      </c>
      <c r="L272" s="278" t="s">
        <v>37</v>
      </c>
      <c r="M272" s="186" t="s">
        <v>244</v>
      </c>
      <c r="N272" s="296"/>
    </row>
    <row r="273" spans="1:13" s="84" customFormat="1" ht="15">
      <c r="A273" s="293"/>
      <c r="B273" s="290" t="s">
        <v>405</v>
      </c>
      <c r="C273" s="74"/>
      <c r="D273" s="75" t="s">
        <v>23</v>
      </c>
      <c r="E273" s="76" t="s">
        <v>24</v>
      </c>
      <c r="F273" s="75" t="s">
        <v>29</v>
      </c>
      <c r="G273" s="75" t="s">
        <v>30</v>
      </c>
      <c r="H273" s="75"/>
      <c r="I273" s="75" t="s">
        <v>31</v>
      </c>
      <c r="J273" s="75"/>
      <c r="K273" s="77"/>
      <c r="L273" s="77"/>
      <c r="M273" s="186"/>
    </row>
    <row r="274" spans="1:14" s="84" customFormat="1" ht="24">
      <c r="A274" s="278" t="s">
        <v>552</v>
      </c>
      <c r="B274" s="338" t="s">
        <v>750</v>
      </c>
      <c r="C274" s="69"/>
      <c r="D274" s="69"/>
      <c r="E274" s="69"/>
      <c r="F274" s="69">
        <f>4.4+1.7</f>
        <v>6.1000000000000005</v>
      </c>
      <c r="G274" s="69"/>
      <c r="H274" s="69"/>
      <c r="I274" s="55"/>
      <c r="J274" s="55"/>
      <c r="K274" s="316">
        <f>F274</f>
        <v>6.1000000000000005</v>
      </c>
      <c r="L274" s="48" t="s">
        <v>54</v>
      </c>
      <c r="M274" s="186" t="s">
        <v>244</v>
      </c>
      <c r="N274" s="296"/>
    </row>
    <row r="275" spans="1:14" s="26" customFormat="1" ht="24">
      <c r="A275" s="278" t="s">
        <v>553</v>
      </c>
      <c r="B275" s="70" t="s">
        <v>751</v>
      </c>
      <c r="C275" s="69"/>
      <c r="D275" s="69"/>
      <c r="E275" s="69"/>
      <c r="F275" s="69"/>
      <c r="G275" s="69"/>
      <c r="H275" s="69"/>
      <c r="I275" s="69"/>
      <c r="J275" s="69"/>
      <c r="K275" s="316">
        <f>SUM(K276:K277)</f>
        <v>9.46</v>
      </c>
      <c r="L275" s="48" t="s">
        <v>37</v>
      </c>
      <c r="M275" s="49" t="s">
        <v>278</v>
      </c>
      <c r="N275" s="296"/>
    </row>
    <row r="276" spans="1:13" s="26" customFormat="1" ht="23.25" customHeight="1">
      <c r="A276" s="247"/>
      <c r="B276" s="248" t="s">
        <v>281</v>
      </c>
      <c r="C276" s="256">
        <v>1</v>
      </c>
      <c r="D276" s="256">
        <v>1.1</v>
      </c>
      <c r="E276" s="256">
        <v>2.2</v>
      </c>
      <c r="F276" s="54"/>
      <c r="G276" s="256">
        <f>D276*E276</f>
        <v>2.4200000000000004</v>
      </c>
      <c r="H276" s="253"/>
      <c r="I276" s="253"/>
      <c r="J276" s="253"/>
      <c r="K276" s="52">
        <f>G276*C276</f>
        <v>2.4200000000000004</v>
      </c>
      <c r="L276" s="48" t="s">
        <v>37</v>
      </c>
      <c r="M276" s="49"/>
    </row>
    <row r="277" spans="1:13" s="26" customFormat="1" ht="15" customHeight="1">
      <c r="A277" s="247"/>
      <c r="B277" s="248" t="s">
        <v>282</v>
      </c>
      <c r="C277" s="256">
        <v>2</v>
      </c>
      <c r="D277" s="256">
        <v>1.6</v>
      </c>
      <c r="E277" s="256">
        <v>2.2</v>
      </c>
      <c r="F277" s="54"/>
      <c r="G277" s="256">
        <f>D277*E277</f>
        <v>3.5200000000000005</v>
      </c>
      <c r="H277" s="253"/>
      <c r="I277" s="253"/>
      <c r="J277" s="253"/>
      <c r="K277" s="52">
        <f>G277*C277</f>
        <v>7.040000000000001</v>
      </c>
      <c r="L277" s="48" t="s">
        <v>37</v>
      </c>
      <c r="M277" s="49"/>
    </row>
    <row r="278" spans="1:13" s="84" customFormat="1" ht="15">
      <c r="A278" s="293"/>
      <c r="B278" s="290" t="s">
        <v>406</v>
      </c>
      <c r="C278" s="74"/>
      <c r="D278" s="75" t="s">
        <v>23</v>
      </c>
      <c r="E278" s="76" t="s">
        <v>24</v>
      </c>
      <c r="F278" s="75" t="s">
        <v>29</v>
      </c>
      <c r="G278" s="75" t="s">
        <v>30</v>
      </c>
      <c r="H278" s="75"/>
      <c r="I278" s="75" t="s">
        <v>31</v>
      </c>
      <c r="J278" s="75"/>
      <c r="K278" s="77"/>
      <c r="L278" s="77"/>
      <c r="M278" s="186"/>
    </row>
    <row r="279" spans="1:14" s="84" customFormat="1" ht="27">
      <c r="A279" s="278" t="s">
        <v>554</v>
      </c>
      <c r="B279" s="54" t="s">
        <v>376</v>
      </c>
      <c r="C279" s="256">
        <v>1</v>
      </c>
      <c r="D279" s="69"/>
      <c r="E279" s="69"/>
      <c r="F279" s="69"/>
      <c r="G279" s="69"/>
      <c r="H279" s="69"/>
      <c r="I279" s="55"/>
      <c r="J279" s="55"/>
      <c r="K279" s="316">
        <f>C279</f>
        <v>1</v>
      </c>
      <c r="L279" s="278" t="s">
        <v>38</v>
      </c>
      <c r="M279" s="186" t="s">
        <v>244</v>
      </c>
      <c r="N279" s="296"/>
    </row>
    <row r="280" spans="1:14" s="84" customFormat="1" ht="27">
      <c r="A280" s="278" t="s">
        <v>555</v>
      </c>
      <c r="B280" s="54" t="s">
        <v>752</v>
      </c>
      <c r="C280" s="69"/>
      <c r="D280" s="256">
        <v>0.5</v>
      </c>
      <c r="E280" s="69"/>
      <c r="F280" s="256">
        <v>1.5</v>
      </c>
      <c r="G280" s="256">
        <f>D280*F280</f>
        <v>0.75</v>
      </c>
      <c r="H280" s="69"/>
      <c r="I280" s="55"/>
      <c r="J280" s="55"/>
      <c r="K280" s="316">
        <f>G280</f>
        <v>0.75</v>
      </c>
      <c r="L280" s="278" t="s">
        <v>37</v>
      </c>
      <c r="M280" s="186" t="s">
        <v>244</v>
      </c>
      <c r="N280" s="296"/>
    </row>
    <row r="281" spans="1:13" s="84" customFormat="1" ht="18">
      <c r="A281" s="20" t="s">
        <v>242</v>
      </c>
      <c r="B281" s="237" t="s">
        <v>540</v>
      </c>
      <c r="C281" s="22" t="s">
        <v>19</v>
      </c>
      <c r="D281" s="344" t="s">
        <v>20</v>
      </c>
      <c r="E281" s="345"/>
      <c r="F281" s="345"/>
      <c r="G281" s="346"/>
      <c r="H281" s="23"/>
      <c r="I281" s="23"/>
      <c r="J281" s="23"/>
      <c r="K281" s="22" t="s">
        <v>21</v>
      </c>
      <c r="L281" s="22" t="s">
        <v>22</v>
      </c>
      <c r="M281" s="24"/>
    </row>
    <row r="282" spans="1:13" s="60" customFormat="1" ht="13.5" customHeight="1">
      <c r="A282" s="291" t="s">
        <v>243</v>
      </c>
      <c r="B282" s="332" t="s">
        <v>531</v>
      </c>
      <c r="C282" s="279" t="s">
        <v>339</v>
      </c>
      <c r="D282" s="281" t="s">
        <v>335</v>
      </c>
      <c r="E282" s="281" t="s">
        <v>334</v>
      </c>
      <c r="F282" s="279" t="s">
        <v>340</v>
      </c>
      <c r="G282" s="279" t="s">
        <v>341</v>
      </c>
      <c r="H282" s="279" t="s">
        <v>529</v>
      </c>
      <c r="I282" s="62"/>
      <c r="J282" s="62"/>
      <c r="K282" s="61"/>
      <c r="L282" s="61"/>
      <c r="M282" s="59"/>
    </row>
    <row r="283" spans="1:14" s="84" customFormat="1" ht="15">
      <c r="A283" s="278"/>
      <c r="B283" s="292" t="s">
        <v>407</v>
      </c>
      <c r="C283" s="69"/>
      <c r="D283" s="256">
        <v>1</v>
      </c>
      <c r="E283" s="256">
        <v>5.5</v>
      </c>
      <c r="F283" s="256">
        <f>D283*E283</f>
        <v>5.5</v>
      </c>
      <c r="G283" s="256">
        <v>4</v>
      </c>
      <c r="H283" s="256">
        <v>7</v>
      </c>
      <c r="I283" s="69"/>
      <c r="J283" s="339">
        <f>F283*G283*H283</f>
        <v>154</v>
      </c>
      <c r="K283" s="69">
        <f>J283/5.5</f>
        <v>28</v>
      </c>
      <c r="L283" s="278" t="s">
        <v>333</v>
      </c>
      <c r="M283" s="99" t="s">
        <v>337</v>
      </c>
      <c r="N283" s="296"/>
    </row>
    <row r="284" spans="1:14" s="84" customFormat="1" ht="15">
      <c r="A284" s="278"/>
      <c r="B284" s="292" t="s">
        <v>408</v>
      </c>
      <c r="C284" s="69"/>
      <c r="D284" s="256">
        <v>8</v>
      </c>
      <c r="E284" s="256">
        <v>5.5</v>
      </c>
      <c r="F284" s="256">
        <f>D284*E284</f>
        <v>44</v>
      </c>
      <c r="G284" s="256">
        <v>4</v>
      </c>
      <c r="H284" s="256">
        <v>7</v>
      </c>
      <c r="I284" s="69"/>
      <c r="J284" s="339">
        <f>F284*G284*H284</f>
        <v>1232</v>
      </c>
      <c r="K284" s="69">
        <f>J284/5.5</f>
        <v>224</v>
      </c>
      <c r="L284" s="278" t="s">
        <v>333</v>
      </c>
      <c r="M284" s="99" t="s">
        <v>336</v>
      </c>
      <c r="N284" s="296"/>
    </row>
    <row r="285" spans="1:14" s="280" customFormat="1" ht="24">
      <c r="A285" s="317"/>
      <c r="B285" s="292" t="s">
        <v>42</v>
      </c>
      <c r="C285" s="69"/>
      <c r="D285" s="256">
        <v>12</v>
      </c>
      <c r="E285" s="256">
        <v>7</v>
      </c>
      <c r="F285" s="256">
        <f>D285*E285</f>
        <v>84</v>
      </c>
      <c r="G285" s="256">
        <v>4</v>
      </c>
      <c r="H285" s="256">
        <v>7</v>
      </c>
      <c r="I285" s="69"/>
      <c r="J285" s="339">
        <f>F285*G285*H285</f>
        <v>2352</v>
      </c>
      <c r="K285" s="69">
        <f>J285/6</f>
        <v>392</v>
      </c>
      <c r="L285" s="278" t="s">
        <v>333</v>
      </c>
      <c r="M285" s="99" t="s">
        <v>338</v>
      </c>
      <c r="N285" s="296"/>
    </row>
    <row r="286" spans="1:13" ht="21" customHeight="1">
      <c r="A286" s="20" t="s">
        <v>370</v>
      </c>
      <c r="B286" s="237" t="s">
        <v>43</v>
      </c>
      <c r="C286" s="22" t="s">
        <v>19</v>
      </c>
      <c r="D286" s="344" t="s">
        <v>20</v>
      </c>
      <c r="E286" s="345"/>
      <c r="F286" s="345"/>
      <c r="G286" s="346"/>
      <c r="H286" s="23"/>
      <c r="I286" s="23"/>
      <c r="J286" s="23"/>
      <c r="K286" s="22" t="s">
        <v>21</v>
      </c>
      <c r="L286" s="22" t="s">
        <v>22</v>
      </c>
      <c r="M286" s="24"/>
    </row>
    <row r="287" spans="1:12" s="84" customFormat="1" ht="15">
      <c r="A287" s="293"/>
      <c r="B287" s="290"/>
      <c r="C287" s="62"/>
      <c r="D287" s="75" t="s">
        <v>23</v>
      </c>
      <c r="E287" s="76" t="s">
        <v>24</v>
      </c>
      <c r="F287" s="75" t="s">
        <v>29</v>
      </c>
      <c r="G287" s="75" t="s">
        <v>30</v>
      </c>
      <c r="H287" s="75" t="s">
        <v>35</v>
      </c>
      <c r="I287" s="75" t="s">
        <v>31</v>
      </c>
      <c r="J287" s="75"/>
      <c r="K287" s="77"/>
      <c r="L287" s="77"/>
    </row>
    <row r="288" spans="1:14" s="280" customFormat="1" ht="15">
      <c r="A288" s="278" t="s">
        <v>371</v>
      </c>
      <c r="B288" s="90" t="s">
        <v>753</v>
      </c>
      <c r="C288" s="277"/>
      <c r="D288" s="38"/>
      <c r="E288" s="277"/>
      <c r="F288" s="38"/>
      <c r="G288" s="256">
        <v>182.64</v>
      </c>
      <c r="H288" s="277"/>
      <c r="I288" s="277"/>
      <c r="J288" s="277"/>
      <c r="K288" s="46">
        <f>G288</f>
        <v>182.64</v>
      </c>
      <c r="L288" s="278" t="s">
        <v>37</v>
      </c>
      <c r="N288" s="296"/>
    </row>
    <row r="289" spans="1:14" s="280" customFormat="1" ht="15">
      <c r="A289" s="278" t="s">
        <v>372</v>
      </c>
      <c r="B289" s="90" t="s">
        <v>754</v>
      </c>
      <c r="C289" s="277"/>
      <c r="D289" s="38"/>
      <c r="E289" s="277"/>
      <c r="F289" s="38"/>
      <c r="G289" s="256">
        <v>182.64</v>
      </c>
      <c r="H289" s="277"/>
      <c r="I289" s="277"/>
      <c r="J289" s="277"/>
      <c r="K289" s="46">
        <f>G289</f>
        <v>182.64</v>
      </c>
      <c r="L289" s="278" t="s">
        <v>37</v>
      </c>
      <c r="N289" s="296"/>
    </row>
    <row r="290" spans="1:14" ht="15">
      <c r="A290" s="278" t="s">
        <v>556</v>
      </c>
      <c r="B290" s="90" t="s">
        <v>755</v>
      </c>
      <c r="C290" s="3"/>
      <c r="D290" s="38"/>
      <c r="E290" s="3"/>
      <c r="F290" s="38"/>
      <c r="G290" s="38"/>
      <c r="H290" s="3"/>
      <c r="I290" s="3"/>
      <c r="J290" s="3"/>
      <c r="K290" s="46">
        <v>31</v>
      </c>
      <c r="L290" s="294" t="s">
        <v>37</v>
      </c>
      <c r="N290" s="296"/>
    </row>
    <row r="291" spans="1:14" s="84" customFormat="1" ht="15">
      <c r="A291" s="278" t="s">
        <v>557</v>
      </c>
      <c r="B291" s="90" t="s">
        <v>756</v>
      </c>
      <c r="C291" s="3"/>
      <c r="D291" s="38"/>
      <c r="E291" s="88"/>
      <c r="F291" s="38"/>
      <c r="G291" s="89"/>
      <c r="H291" s="89"/>
      <c r="I291" s="89"/>
      <c r="J291" s="264"/>
      <c r="K291" s="46">
        <v>31</v>
      </c>
      <c r="L291" s="294" t="s">
        <v>37</v>
      </c>
      <c r="N291" s="296"/>
    </row>
    <row r="294" ht="15.75">
      <c r="B294" s="333" t="s">
        <v>532</v>
      </c>
    </row>
    <row r="295" ht="15.75">
      <c r="B295" s="334" t="s">
        <v>533</v>
      </c>
    </row>
    <row r="296" ht="15.75">
      <c r="B296" s="335" t="s">
        <v>534</v>
      </c>
    </row>
    <row r="297" ht="15.75">
      <c r="B297" s="336" t="s">
        <v>535</v>
      </c>
    </row>
    <row r="298" ht="15.75">
      <c r="B298" s="337"/>
    </row>
    <row r="299" ht="15">
      <c r="B299" s="280"/>
    </row>
    <row r="300" ht="15.75">
      <c r="B300" s="333" t="s">
        <v>536</v>
      </c>
    </row>
    <row r="301" ht="15.75">
      <c r="B301" s="334" t="s">
        <v>533</v>
      </c>
    </row>
    <row r="302" ht="15.75">
      <c r="B302" s="335" t="s">
        <v>537</v>
      </c>
    </row>
    <row r="303" ht="15.75">
      <c r="B303" s="336" t="s">
        <v>538</v>
      </c>
    </row>
  </sheetData>
  <sheetProtection/>
  <mergeCells count="20">
    <mergeCell ref="D251:G251"/>
    <mergeCell ref="D281:G281"/>
    <mergeCell ref="D40:G40"/>
    <mergeCell ref="D86:G86"/>
    <mergeCell ref="D95:G95"/>
    <mergeCell ref="D110:G110"/>
    <mergeCell ref="D115:G115"/>
    <mergeCell ref="D123:G123"/>
    <mergeCell ref="D51:G51"/>
    <mergeCell ref="D243:G243"/>
    <mergeCell ref="D28:G28"/>
    <mergeCell ref="B1:L1"/>
    <mergeCell ref="D6:G6"/>
    <mergeCell ref="D138:G138"/>
    <mergeCell ref="D286:G286"/>
    <mergeCell ref="D60:G60"/>
    <mergeCell ref="D66:G66"/>
    <mergeCell ref="D79:G79"/>
    <mergeCell ref="D31:G31"/>
    <mergeCell ref="D209:G209"/>
  </mergeCells>
  <printOptions horizontalCentered="1"/>
  <pageMargins left="0.31496062992125984" right="0.31496062992125984" top="0.7874015748031497" bottom="0.7874015748031497" header="0.31496062992125984" footer="0.31496062992125984"/>
  <pageSetup fitToHeight="9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66"/>
  <sheetViews>
    <sheetView zoomScale="70" zoomScaleNormal="70" zoomScalePageLayoutView="0" workbookViewId="0" topLeftCell="A40">
      <selection activeCell="N57" sqref="N57"/>
    </sheetView>
  </sheetViews>
  <sheetFormatPr defaultColWidth="9.140625" defaultRowHeight="15"/>
  <cols>
    <col min="1" max="1" width="20.140625" style="84" customWidth="1"/>
    <col min="2" max="2" width="8.421875" style="84" customWidth="1"/>
    <col min="3" max="3" width="12.00390625" style="84" customWidth="1"/>
    <col min="4" max="4" width="12.28125" style="84" customWidth="1"/>
    <col min="5" max="5" width="14.140625" style="84" customWidth="1"/>
    <col min="6" max="6" width="11.140625" style="84" customWidth="1"/>
    <col min="7" max="7" width="12.7109375" style="84" customWidth="1"/>
    <col min="8" max="8" width="12.28125" style="84" customWidth="1"/>
    <col min="9" max="9" width="7.00390625" style="84" customWidth="1"/>
    <col min="10" max="10" width="10.140625" style="84" customWidth="1"/>
    <col min="11" max="11" width="12.8515625" style="84" customWidth="1"/>
    <col min="12" max="12" width="12.28125" style="84" customWidth="1"/>
    <col min="13" max="13" width="7.7109375" style="84" customWidth="1"/>
    <col min="14" max="14" width="12.57421875" style="84" customWidth="1"/>
    <col min="15" max="15" width="9.8515625" style="84" customWidth="1"/>
    <col min="16" max="16" width="11.8515625" style="84" customWidth="1"/>
    <col min="17" max="17" width="14.421875" style="84" customWidth="1"/>
    <col min="18" max="18" width="13.57421875" style="84" customWidth="1"/>
    <col min="19" max="19" width="9.28125" style="84" customWidth="1"/>
    <col min="20" max="20" width="13.28125" style="84" customWidth="1"/>
    <col min="21" max="21" width="9.421875" style="84" customWidth="1"/>
    <col min="22" max="22" width="9.140625" style="84" customWidth="1"/>
    <col min="23" max="23" width="11.57421875" style="84" customWidth="1"/>
    <col min="24" max="24" width="1.28515625" style="84" customWidth="1"/>
    <col min="25" max="25" width="26.140625" style="84" customWidth="1"/>
    <col min="26" max="26" width="17.421875" style="84" customWidth="1"/>
    <col min="27" max="27" width="13.140625" style="84" customWidth="1"/>
    <col min="28" max="16384" width="9.140625" style="84" customWidth="1"/>
  </cols>
  <sheetData>
    <row r="2" spans="1:23" s="106" customFormat="1" ht="26.25">
      <c r="A2" s="103"/>
      <c r="B2" s="104" t="s">
        <v>69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2:13" ht="15">
      <c r="B3" s="373" t="s">
        <v>70</v>
      </c>
      <c r="C3" s="373"/>
      <c r="D3" s="367" t="s">
        <v>70</v>
      </c>
      <c r="E3" s="367"/>
      <c r="F3" s="367" t="s">
        <v>70</v>
      </c>
      <c r="G3" s="367"/>
      <c r="H3" s="367" t="s">
        <v>70</v>
      </c>
      <c r="I3" s="367"/>
      <c r="J3" s="367" t="s">
        <v>70</v>
      </c>
      <c r="K3" s="367"/>
      <c r="L3" s="367" t="s">
        <v>70</v>
      </c>
      <c r="M3" s="367"/>
    </row>
    <row r="4" spans="1:26" ht="27" customHeight="1">
      <c r="A4" s="108" t="s">
        <v>71</v>
      </c>
      <c r="B4" s="370" t="s">
        <v>118</v>
      </c>
      <c r="C4" s="370"/>
      <c r="D4" s="374" t="s">
        <v>124</v>
      </c>
      <c r="E4" s="374"/>
      <c r="F4" s="189" t="s">
        <v>119</v>
      </c>
      <c r="G4" s="219" t="s">
        <v>185</v>
      </c>
      <c r="H4" s="370" t="s">
        <v>120</v>
      </c>
      <c r="I4" s="370"/>
      <c r="J4" s="374" t="s">
        <v>125</v>
      </c>
      <c r="K4" s="374"/>
      <c r="L4" s="374" t="s">
        <v>121</v>
      </c>
      <c r="M4" s="374"/>
      <c r="N4" s="378" t="s">
        <v>72</v>
      </c>
      <c r="O4" s="378"/>
      <c r="P4" s="379" t="s">
        <v>161</v>
      </c>
      <c r="Q4" s="380"/>
      <c r="R4" s="379" t="s">
        <v>73</v>
      </c>
      <c r="S4" s="380"/>
      <c r="T4" s="379" t="s">
        <v>162</v>
      </c>
      <c r="U4" s="380"/>
      <c r="V4" s="378" t="s">
        <v>74</v>
      </c>
      <c r="W4" s="378"/>
      <c r="Y4" s="109" t="s">
        <v>116</v>
      </c>
      <c r="Z4" s="109" t="s">
        <v>117</v>
      </c>
    </row>
    <row r="5" spans="1:26" ht="15">
      <c r="A5" s="25" t="s">
        <v>75</v>
      </c>
      <c r="B5" s="27" t="s">
        <v>76</v>
      </c>
      <c r="C5" s="27" t="s">
        <v>77</v>
      </c>
      <c r="D5" s="27" t="s">
        <v>76</v>
      </c>
      <c r="E5" s="27" t="s">
        <v>77</v>
      </c>
      <c r="F5" s="27" t="s">
        <v>77</v>
      </c>
      <c r="G5" s="27" t="s">
        <v>184</v>
      </c>
      <c r="H5" s="27" t="s">
        <v>76</v>
      </c>
      <c r="I5" s="27" t="s">
        <v>77</v>
      </c>
      <c r="J5" s="27" t="s">
        <v>176</v>
      </c>
      <c r="K5" s="27" t="s">
        <v>77</v>
      </c>
      <c r="L5" s="27" t="s">
        <v>76</v>
      </c>
      <c r="M5" s="27" t="s">
        <v>77</v>
      </c>
      <c r="N5" s="27" t="s">
        <v>76</v>
      </c>
      <c r="O5" s="27" t="s">
        <v>77</v>
      </c>
      <c r="P5" s="27" t="s">
        <v>76</v>
      </c>
      <c r="Q5" s="27" t="s">
        <v>77</v>
      </c>
      <c r="R5" s="27" t="s">
        <v>76</v>
      </c>
      <c r="S5" s="27" t="s">
        <v>77</v>
      </c>
      <c r="T5" s="27" t="s">
        <v>76</v>
      </c>
      <c r="U5" s="25" t="s">
        <v>77</v>
      </c>
      <c r="V5" s="25" t="s">
        <v>76</v>
      </c>
      <c r="W5" s="25" t="s">
        <v>77</v>
      </c>
      <c r="Y5" s="110" t="s">
        <v>78</v>
      </c>
      <c r="Z5" s="1">
        <v>20</v>
      </c>
    </row>
    <row r="6" spans="1:27" ht="23.25" customHeight="1">
      <c r="A6" s="25" t="s">
        <v>79</v>
      </c>
      <c r="B6" s="156">
        <f>((2.7+0.3+0.15)-0.75)+0.85</f>
        <v>3.25</v>
      </c>
      <c r="C6" s="123">
        <f>1.8</f>
        <v>1.8</v>
      </c>
      <c r="D6" s="199"/>
      <c r="E6" s="156">
        <v>2</v>
      </c>
      <c r="F6" s="156">
        <v>1</v>
      </c>
      <c r="G6" s="156">
        <f>1+1</f>
        <v>2</v>
      </c>
      <c r="H6" s="34">
        <v>0</v>
      </c>
      <c r="I6" s="199"/>
      <c r="J6" s="111"/>
      <c r="K6" s="40"/>
      <c r="L6" s="31"/>
      <c r="M6" s="40"/>
      <c r="N6" s="156">
        <v>1</v>
      </c>
      <c r="O6" s="40"/>
      <c r="P6" s="156">
        <v>2</v>
      </c>
      <c r="Q6" s="3"/>
      <c r="R6" s="112"/>
      <c r="S6" s="112"/>
      <c r="T6" s="34"/>
      <c r="U6" s="3"/>
      <c r="V6" s="1"/>
      <c r="W6" s="3"/>
      <c r="Y6" s="110" t="s">
        <v>80</v>
      </c>
      <c r="Z6" s="171">
        <v>25</v>
      </c>
      <c r="AA6" s="209" t="s">
        <v>174</v>
      </c>
    </row>
    <row r="7" spans="1:27" ht="18">
      <c r="A7" s="25" t="s">
        <v>81</v>
      </c>
      <c r="B7" s="156">
        <f>((2.7+0.3+0.15)-0.75)+0.85</f>
        <v>3.25</v>
      </c>
      <c r="C7" s="123">
        <v>1.5</v>
      </c>
      <c r="D7" s="199"/>
      <c r="E7" s="156">
        <v>1</v>
      </c>
      <c r="F7" s="156">
        <v>2</v>
      </c>
      <c r="G7" s="156">
        <f>1+1</f>
        <v>2</v>
      </c>
      <c r="H7" s="34">
        <v>0</v>
      </c>
      <c r="I7" s="199"/>
      <c r="J7" s="111"/>
      <c r="K7" s="40"/>
      <c r="L7" s="31"/>
      <c r="M7" s="40"/>
      <c r="N7" s="156">
        <v>1</v>
      </c>
      <c r="O7" s="40"/>
      <c r="P7" s="156">
        <v>2</v>
      </c>
      <c r="Q7" s="3"/>
      <c r="R7" s="112"/>
      <c r="S7" s="112"/>
      <c r="T7" s="34"/>
      <c r="U7" s="3"/>
      <c r="V7" s="1"/>
      <c r="W7" s="3"/>
      <c r="Y7" s="110" t="s">
        <v>82</v>
      </c>
      <c r="Z7" s="171">
        <v>32</v>
      </c>
      <c r="AA7" s="209" t="s">
        <v>175</v>
      </c>
    </row>
    <row r="8" spans="1:27" ht="28.5" customHeight="1">
      <c r="A8" s="194" t="s">
        <v>321</v>
      </c>
      <c r="B8" s="193">
        <f>0.75+0.6</f>
        <v>1.35</v>
      </c>
      <c r="C8" s="193">
        <v>2</v>
      </c>
      <c r="D8" s="199"/>
      <c r="E8" s="185">
        <v>2</v>
      </c>
      <c r="F8" s="34"/>
      <c r="G8" s="193">
        <v>1</v>
      </c>
      <c r="H8" s="31"/>
      <c r="I8" s="31"/>
      <c r="J8" s="31"/>
      <c r="K8" s="68"/>
      <c r="L8" s="31"/>
      <c r="M8" s="200"/>
      <c r="N8" s="34"/>
      <c r="O8" s="68"/>
      <c r="P8" s="34"/>
      <c r="Q8" s="1"/>
      <c r="R8" s="34"/>
      <c r="S8" s="112"/>
      <c r="T8" s="34"/>
      <c r="U8" s="1"/>
      <c r="V8" s="3"/>
      <c r="W8" s="3"/>
      <c r="Y8" s="110" t="s">
        <v>84</v>
      </c>
      <c r="Z8" s="171">
        <v>40</v>
      </c>
      <c r="AA8" s="216" t="s">
        <v>91</v>
      </c>
    </row>
    <row r="9" spans="1:23" ht="26.25">
      <c r="A9" s="194" t="s">
        <v>172</v>
      </c>
      <c r="B9" s="193">
        <v>0.3</v>
      </c>
      <c r="C9" s="205">
        <v>0.85</v>
      </c>
      <c r="D9" s="199"/>
      <c r="E9" s="185">
        <v>1</v>
      </c>
      <c r="F9" s="34"/>
      <c r="G9" s="193">
        <v>1</v>
      </c>
      <c r="H9" s="31"/>
      <c r="I9" s="31"/>
      <c r="J9" s="31"/>
      <c r="K9" s="68"/>
      <c r="L9" s="31"/>
      <c r="M9" s="200"/>
      <c r="N9" s="34"/>
      <c r="O9" s="68"/>
      <c r="P9" s="34"/>
      <c r="Q9" s="1"/>
      <c r="R9" s="34"/>
      <c r="S9" s="112"/>
      <c r="T9" s="34"/>
      <c r="U9" s="1"/>
      <c r="V9" s="3"/>
      <c r="W9" s="3"/>
    </row>
    <row r="10" spans="1:23" ht="27" customHeight="1">
      <c r="A10" s="206" t="s">
        <v>322</v>
      </c>
      <c r="B10" s="191"/>
      <c r="C10" s="205">
        <v>1</v>
      </c>
      <c r="D10" s="199"/>
      <c r="E10" s="185">
        <v>0</v>
      </c>
      <c r="F10" s="185">
        <v>2</v>
      </c>
      <c r="G10" s="193">
        <v>2</v>
      </c>
      <c r="H10" s="31"/>
      <c r="I10" s="31"/>
      <c r="J10" s="31"/>
      <c r="K10" s="68"/>
      <c r="L10" s="31"/>
      <c r="M10" s="200"/>
      <c r="N10" s="185">
        <v>1</v>
      </c>
      <c r="O10" s="68"/>
      <c r="P10" s="185">
        <v>2</v>
      </c>
      <c r="Q10" s="1"/>
      <c r="R10" s="34"/>
      <c r="S10" s="112"/>
      <c r="T10" s="34"/>
      <c r="U10" s="1"/>
      <c r="V10" s="3"/>
      <c r="W10" s="3"/>
    </row>
    <row r="11" spans="1:23" ht="15">
      <c r="A11" s="113" t="s">
        <v>85</v>
      </c>
      <c r="B11" s="156">
        <f>((2.7+0.3+0.15)-0.7)+1.1</f>
        <v>3.5500000000000003</v>
      </c>
      <c r="C11" s="156">
        <f>0.6</f>
        <v>0.6</v>
      </c>
      <c r="D11" s="199"/>
      <c r="E11" s="185">
        <v>2</v>
      </c>
      <c r="F11" s="156">
        <v>1</v>
      </c>
      <c r="G11" s="156">
        <f>1+1</f>
        <v>2</v>
      </c>
      <c r="H11" s="34">
        <v>0</v>
      </c>
      <c r="I11" s="31"/>
      <c r="J11" s="111"/>
      <c r="K11" s="199"/>
      <c r="L11" s="31"/>
      <c r="M11" s="30"/>
      <c r="N11" s="156">
        <v>1</v>
      </c>
      <c r="O11" s="40"/>
      <c r="P11" s="156">
        <v>2</v>
      </c>
      <c r="Q11" s="1"/>
      <c r="R11" s="112"/>
      <c r="S11" s="112"/>
      <c r="T11" s="34"/>
      <c r="U11" s="3"/>
      <c r="V11" s="1"/>
      <c r="W11" s="3"/>
    </row>
    <row r="12" spans="1:23" ht="15">
      <c r="A12" s="113" t="s">
        <v>83</v>
      </c>
      <c r="B12" s="156">
        <f>((2.7+0.3+0.15)-0.7)+1.1</f>
        <v>3.5500000000000003</v>
      </c>
      <c r="C12" s="156">
        <v>1</v>
      </c>
      <c r="D12" s="199"/>
      <c r="E12" s="185">
        <v>2</v>
      </c>
      <c r="F12" s="156">
        <v>1</v>
      </c>
      <c r="G12" s="156">
        <f>1+1</f>
        <v>2</v>
      </c>
      <c r="H12" s="34">
        <v>0</v>
      </c>
      <c r="I12" s="31"/>
      <c r="J12" s="111"/>
      <c r="K12" s="199"/>
      <c r="L12" s="31"/>
      <c r="M12" s="30"/>
      <c r="N12" s="156">
        <v>1</v>
      </c>
      <c r="O12" s="40"/>
      <c r="P12" s="156">
        <v>2</v>
      </c>
      <c r="Q12" s="1"/>
      <c r="R12" s="112"/>
      <c r="S12" s="112"/>
      <c r="T12" s="34"/>
      <c r="U12" s="3"/>
      <c r="V12" s="1"/>
      <c r="W12" s="3"/>
    </row>
    <row r="13" spans="1:23" ht="15">
      <c r="A13" s="113" t="s">
        <v>87</v>
      </c>
      <c r="B13" s="208">
        <f>(2.7+0.3+0.15)+0.73+0.38</f>
        <v>4.26</v>
      </c>
      <c r="C13" s="156">
        <f>0.36+0.27+1.19</f>
        <v>1.8199999999999998</v>
      </c>
      <c r="D13" s="68"/>
      <c r="E13" s="185">
        <v>4</v>
      </c>
      <c r="F13" s="156">
        <v>1</v>
      </c>
      <c r="G13" s="156">
        <v>1</v>
      </c>
      <c r="H13" s="34">
        <v>0</v>
      </c>
      <c r="I13" s="31"/>
      <c r="J13" s="111"/>
      <c r="K13" s="40"/>
      <c r="L13" s="31"/>
      <c r="M13" s="201"/>
      <c r="N13" s="156">
        <v>1</v>
      </c>
      <c r="O13" s="40"/>
      <c r="P13" s="156">
        <v>2</v>
      </c>
      <c r="Q13" s="3"/>
      <c r="R13" s="112"/>
      <c r="S13" s="112"/>
      <c r="T13" s="34"/>
      <c r="U13" s="3"/>
      <c r="V13" s="3"/>
      <c r="W13" s="3"/>
    </row>
    <row r="14" spans="1:23" ht="15">
      <c r="A14" s="113" t="s">
        <v>105</v>
      </c>
      <c r="B14" s="208">
        <f>(2.7+0.3+0.15)+0.6</f>
        <v>3.75</v>
      </c>
      <c r="C14" s="156">
        <f>0.45</f>
        <v>0.45</v>
      </c>
      <c r="D14" s="68"/>
      <c r="E14" s="185">
        <v>2</v>
      </c>
      <c r="F14" s="202"/>
      <c r="G14" s="156">
        <v>1</v>
      </c>
      <c r="H14" s="34">
        <v>0</v>
      </c>
      <c r="I14" s="31"/>
      <c r="J14" s="111"/>
      <c r="K14" s="40"/>
      <c r="L14" s="31"/>
      <c r="M14" s="201"/>
      <c r="N14" s="156">
        <v>1</v>
      </c>
      <c r="O14" s="40"/>
      <c r="P14" s="156">
        <v>2</v>
      </c>
      <c r="Q14" s="3"/>
      <c r="R14" s="112"/>
      <c r="S14" s="112"/>
      <c r="T14" s="34"/>
      <c r="U14" s="3"/>
      <c r="V14" s="3"/>
      <c r="W14" s="3"/>
    </row>
    <row r="15" spans="1:23" ht="27" customHeight="1">
      <c r="A15" s="206" t="s">
        <v>173</v>
      </c>
      <c r="B15" s="193">
        <f>0.6+0.6</f>
        <v>1.2</v>
      </c>
      <c r="C15" s="193">
        <f>3.3+4.05</f>
        <v>7.35</v>
      </c>
      <c r="D15" s="199"/>
      <c r="E15" s="185">
        <f>1+2+1</f>
        <v>4</v>
      </c>
      <c r="F15" s="185">
        <f>1</f>
        <v>1</v>
      </c>
      <c r="G15" s="193">
        <f>1+1+1</f>
        <v>3</v>
      </c>
      <c r="H15" s="31"/>
      <c r="I15" s="31"/>
      <c r="J15" s="199"/>
      <c r="K15" s="68"/>
      <c r="L15" s="31"/>
      <c r="M15" s="200"/>
      <c r="N15" s="185"/>
      <c r="O15" s="185">
        <v>1</v>
      </c>
      <c r="P15" s="185"/>
      <c r="Q15" s="185">
        <v>2</v>
      </c>
      <c r="R15" s="112"/>
      <c r="S15" s="112"/>
      <c r="T15" s="34"/>
      <c r="U15" s="1"/>
      <c r="V15" s="3"/>
      <c r="W15" s="3"/>
    </row>
    <row r="16" spans="1:24" ht="27" customHeight="1">
      <c r="A16" s="187" t="s">
        <v>109</v>
      </c>
      <c r="B16" s="185">
        <f>0.4+3+2</f>
        <v>5.4</v>
      </c>
      <c r="C16" s="185">
        <f>2.4+7+4+4.5+1</f>
        <v>18.9</v>
      </c>
      <c r="D16" s="185">
        <v>3</v>
      </c>
      <c r="E16" s="185"/>
      <c r="F16" s="200"/>
      <c r="G16" s="200"/>
      <c r="H16" s="31"/>
      <c r="I16" s="31"/>
      <c r="J16" s="31"/>
      <c r="K16" s="31"/>
      <c r="L16" s="30"/>
      <c r="M16" s="30"/>
      <c r="N16" s="40"/>
      <c r="O16" s="40"/>
      <c r="P16" s="40"/>
      <c r="Q16" s="3"/>
      <c r="R16" s="112"/>
      <c r="S16" s="112"/>
      <c r="T16" s="3"/>
      <c r="U16" s="3"/>
      <c r="V16" s="112"/>
      <c r="W16" s="112"/>
      <c r="X16" s="95"/>
    </row>
    <row r="17" spans="1:24" ht="27" customHeight="1">
      <c r="A17" s="115" t="s">
        <v>89</v>
      </c>
      <c r="B17" s="195">
        <f aca="true" t="shared" si="0" ref="B17:G17">SUM(B6:B16)</f>
        <v>29.86</v>
      </c>
      <c r="C17" s="195">
        <f t="shared" si="0"/>
        <v>37.269999999999996</v>
      </c>
      <c r="D17" s="195">
        <f t="shared" si="0"/>
        <v>3</v>
      </c>
      <c r="E17" s="195">
        <f t="shared" si="0"/>
        <v>20</v>
      </c>
      <c r="F17" s="195">
        <f t="shared" si="0"/>
        <v>9</v>
      </c>
      <c r="G17" s="195">
        <f t="shared" si="0"/>
        <v>17</v>
      </c>
      <c r="H17" s="203"/>
      <c r="I17" s="203"/>
      <c r="J17" s="203"/>
      <c r="K17" s="203"/>
      <c r="L17" s="204"/>
      <c r="M17" s="204"/>
      <c r="N17" s="195">
        <f>SUM(N6:N16)</f>
        <v>7</v>
      </c>
      <c r="O17" s="195">
        <f>SUM(O6:O16)</f>
        <v>1</v>
      </c>
      <c r="P17" s="195">
        <f>SUM(P6:P16)</f>
        <v>14</v>
      </c>
      <c r="Q17" s="195">
        <f>SUM(Q6:Q16)</f>
        <v>2</v>
      </c>
      <c r="R17" s="179"/>
      <c r="S17" s="179"/>
      <c r="T17" s="150"/>
      <c r="U17" s="150"/>
      <c r="V17" s="179"/>
      <c r="W17" s="179"/>
      <c r="X17" s="95"/>
    </row>
    <row r="18" spans="1:23" ht="18">
      <c r="A18" s="115"/>
      <c r="B18" s="210">
        <f>B17+C17</f>
        <v>67.13</v>
      </c>
      <c r="C18" s="197"/>
      <c r="D18" s="210">
        <f>D17+E17</f>
        <v>23</v>
      </c>
      <c r="E18" s="196"/>
      <c r="F18" s="210">
        <f>F17</f>
        <v>9</v>
      </c>
      <c r="G18" s="210">
        <f>G17</f>
        <v>17</v>
      </c>
      <c r="H18" s="371">
        <f>H6+I6+H7+I7+H9+I9+H12+I12+H11+I11+H13+I13+H14+I14+H15+I15+H16+I16</f>
        <v>0</v>
      </c>
      <c r="I18" s="372"/>
      <c r="J18" s="376"/>
      <c r="K18" s="377"/>
      <c r="L18" s="376"/>
      <c r="M18" s="377"/>
      <c r="N18" s="210">
        <f>N17+O17</f>
        <v>8</v>
      </c>
      <c r="O18" s="207"/>
      <c r="P18" s="210">
        <f>P17+Q17</f>
        <v>16</v>
      </c>
      <c r="Q18" s="207"/>
      <c r="R18" s="381">
        <f>R6+S6+R7+S7+R9+S9+R12+S12+R11+S11+R13+S13+R14+S14+R15+S15+R16+S16</f>
        <v>0</v>
      </c>
      <c r="S18" s="382"/>
      <c r="T18" s="360">
        <f>T6+U6+T7+U7+T9+U9+T12+U12+T11+U11+T13+U13+T14+U14+T15+U15+T16+U16</f>
        <v>0</v>
      </c>
      <c r="U18" s="361"/>
      <c r="V18" s="376"/>
      <c r="W18" s="377"/>
    </row>
    <row r="19" spans="1:23" ht="15">
      <c r="A19" s="116"/>
      <c r="B19" s="117"/>
      <c r="C19" s="97"/>
      <c r="D19" s="97"/>
      <c r="E19" s="97"/>
      <c r="F19" s="117"/>
      <c r="G19" s="97"/>
      <c r="H19" s="97"/>
      <c r="I19" s="97"/>
      <c r="J19" s="97"/>
      <c r="K19" s="97"/>
      <c r="L19" s="117"/>
      <c r="M19" s="97"/>
      <c r="N19" s="97"/>
      <c r="O19" s="97"/>
      <c r="P19" s="97"/>
      <c r="Q19" s="97"/>
      <c r="R19" s="117"/>
      <c r="S19" s="117"/>
      <c r="T19" s="97"/>
      <c r="U19" s="97"/>
      <c r="V19" s="97"/>
      <c r="W19" s="96"/>
    </row>
    <row r="20" spans="1:23" ht="15">
      <c r="A20" s="118"/>
      <c r="B20" s="367" t="s">
        <v>70</v>
      </c>
      <c r="C20" s="367"/>
      <c r="D20" s="367" t="s">
        <v>70</v>
      </c>
      <c r="E20" s="367"/>
      <c r="F20" s="367" t="s">
        <v>70</v>
      </c>
      <c r="G20" s="367"/>
      <c r="H20" s="367" t="s">
        <v>70</v>
      </c>
      <c r="I20" s="367"/>
      <c r="J20" s="367" t="s">
        <v>70</v>
      </c>
      <c r="K20" s="367"/>
      <c r="L20" s="367" t="s">
        <v>70</v>
      </c>
      <c r="M20" s="367"/>
      <c r="N20" s="367" t="s">
        <v>70</v>
      </c>
      <c r="O20" s="367"/>
      <c r="P20" s="367" t="s">
        <v>70</v>
      </c>
      <c r="Q20" s="367"/>
      <c r="R20" s="107"/>
      <c r="S20" s="119"/>
      <c r="T20" s="94"/>
      <c r="U20" s="94"/>
      <c r="V20" s="94"/>
      <c r="W20" s="92"/>
    </row>
    <row r="21" spans="1:26" ht="15.75">
      <c r="A21" s="120" t="s">
        <v>90</v>
      </c>
      <c r="B21" s="368" t="s">
        <v>122</v>
      </c>
      <c r="C21" s="369"/>
      <c r="D21" s="365" t="s">
        <v>123</v>
      </c>
      <c r="E21" s="366"/>
      <c r="F21" s="365" t="s">
        <v>126</v>
      </c>
      <c r="G21" s="366"/>
      <c r="H21" s="365" t="s">
        <v>127</v>
      </c>
      <c r="I21" s="366"/>
      <c r="J21" s="368" t="s">
        <v>128</v>
      </c>
      <c r="K21" s="369"/>
      <c r="L21" s="365" t="s">
        <v>129</v>
      </c>
      <c r="M21" s="366"/>
      <c r="N21" s="365" t="s">
        <v>130</v>
      </c>
      <c r="O21" s="366"/>
      <c r="P21" s="184" t="s">
        <v>159</v>
      </c>
      <c r="Q21" s="189" t="s">
        <v>160</v>
      </c>
      <c r="R21" s="362" t="s">
        <v>164</v>
      </c>
      <c r="S21" s="362"/>
      <c r="T21" s="362" t="s">
        <v>165</v>
      </c>
      <c r="U21" s="362"/>
      <c r="V21" s="184"/>
      <c r="W21" s="164" t="s">
        <v>114</v>
      </c>
      <c r="X21" s="95"/>
      <c r="Y21" s="109" t="s">
        <v>116</v>
      </c>
      <c r="Z21" s="109" t="s">
        <v>117</v>
      </c>
    </row>
    <row r="22" spans="1:26" ht="16.5" customHeight="1">
      <c r="A22" s="175"/>
      <c r="B22" s="27" t="s">
        <v>76</v>
      </c>
      <c r="C22" s="27" t="s">
        <v>77</v>
      </c>
      <c r="D22" s="27" t="s">
        <v>76</v>
      </c>
      <c r="E22" s="25" t="s">
        <v>77</v>
      </c>
      <c r="F22" s="25" t="s">
        <v>76</v>
      </c>
      <c r="G22" s="27" t="s">
        <v>77</v>
      </c>
      <c r="H22" s="27" t="s">
        <v>76</v>
      </c>
      <c r="I22" s="27" t="s">
        <v>77</v>
      </c>
      <c r="J22" s="27" t="s">
        <v>76</v>
      </c>
      <c r="K22" s="27" t="s">
        <v>77</v>
      </c>
      <c r="L22" s="27" t="s">
        <v>76</v>
      </c>
      <c r="M22" s="27" t="s">
        <v>77</v>
      </c>
      <c r="N22" s="27" t="s">
        <v>76</v>
      </c>
      <c r="O22" s="25" t="s">
        <v>77</v>
      </c>
      <c r="P22" s="27" t="s">
        <v>77</v>
      </c>
      <c r="Q22" s="27" t="s">
        <v>77</v>
      </c>
      <c r="R22" s="27" t="s">
        <v>76</v>
      </c>
      <c r="S22" s="27" t="s">
        <v>77</v>
      </c>
      <c r="T22" s="25" t="s">
        <v>76</v>
      </c>
      <c r="U22" s="27" t="s">
        <v>77</v>
      </c>
      <c r="V22" s="25" t="s">
        <v>76</v>
      </c>
      <c r="W22" s="27" t="s">
        <v>77</v>
      </c>
      <c r="X22" s="95"/>
      <c r="Y22" s="110" t="s">
        <v>78</v>
      </c>
      <c r="Z22" s="1">
        <v>20</v>
      </c>
    </row>
    <row r="23" spans="1:26" ht="26.25">
      <c r="A23" s="175" t="s">
        <v>177</v>
      </c>
      <c r="B23" s="27"/>
      <c r="C23" s="162">
        <f>4.4+1</f>
        <v>5.4</v>
      </c>
      <c r="D23" s="199"/>
      <c r="E23" s="212"/>
      <c r="F23" s="212"/>
      <c r="G23" s="199"/>
      <c r="H23" s="199"/>
      <c r="I23" s="195">
        <v>1</v>
      </c>
      <c r="J23" s="199"/>
      <c r="K23" s="195">
        <f>4.3+1.5+3.7+9+2.2</f>
        <v>20.7</v>
      </c>
      <c r="L23" s="199"/>
      <c r="M23" s="195">
        <v>4</v>
      </c>
      <c r="N23" s="199"/>
      <c r="O23" s="195">
        <f>1+1+1</f>
        <v>3</v>
      </c>
      <c r="P23" s="195">
        <v>2</v>
      </c>
      <c r="Q23" s="195">
        <v>2</v>
      </c>
      <c r="R23" s="212"/>
      <c r="S23" s="212"/>
      <c r="T23" s="212"/>
      <c r="U23" s="199"/>
      <c r="V23" s="212"/>
      <c r="W23" s="199"/>
      <c r="X23" s="95"/>
      <c r="Y23" s="110"/>
      <c r="Z23" s="1"/>
    </row>
    <row r="24" spans="1:26" ht="15">
      <c r="A24" s="160" t="s">
        <v>91</v>
      </c>
      <c r="B24" s="3"/>
      <c r="D24" s="176"/>
      <c r="E24" s="30"/>
      <c r="F24" s="40"/>
      <c r="G24" s="162">
        <v>2</v>
      </c>
      <c r="H24" s="200"/>
      <c r="I24" s="176"/>
      <c r="J24" s="176"/>
      <c r="K24" s="176"/>
      <c r="L24" s="176"/>
      <c r="M24" s="199"/>
      <c r="N24" s="176"/>
      <c r="O24" s="30"/>
      <c r="P24" s="40"/>
      <c r="Q24" s="199"/>
      <c r="R24" s="40"/>
      <c r="S24" s="195">
        <v>2</v>
      </c>
      <c r="T24" s="40"/>
      <c r="U24" s="195">
        <v>1</v>
      </c>
      <c r="V24" s="213"/>
      <c r="W24" s="176"/>
      <c r="X24" s="95"/>
      <c r="Y24" s="122" t="s">
        <v>82</v>
      </c>
      <c r="Z24" s="47">
        <v>32</v>
      </c>
    </row>
    <row r="25" spans="1:26" ht="15">
      <c r="A25" s="159" t="s">
        <v>158</v>
      </c>
      <c r="B25" s="156"/>
      <c r="C25" s="156"/>
      <c r="D25" s="68"/>
      <c r="E25" s="40"/>
      <c r="F25" s="40"/>
      <c r="G25" s="200"/>
      <c r="H25" s="68"/>
      <c r="I25" s="31"/>
      <c r="J25" s="40"/>
      <c r="K25" s="40"/>
      <c r="L25" s="40"/>
      <c r="M25" s="200"/>
      <c r="N25" s="30"/>
      <c r="O25" s="30"/>
      <c r="P25" s="40"/>
      <c r="Q25" s="40"/>
      <c r="R25" s="40"/>
      <c r="S25" s="68"/>
      <c r="T25" s="40"/>
      <c r="U25" s="214"/>
      <c r="V25" s="212"/>
      <c r="W25" s="195">
        <v>6</v>
      </c>
      <c r="X25" s="95"/>
      <c r="Y25" s="122" t="s">
        <v>84</v>
      </c>
      <c r="Z25" s="47">
        <v>40</v>
      </c>
    </row>
    <row r="26" spans="1:26" ht="18">
      <c r="A26" s="122" t="s">
        <v>89</v>
      </c>
      <c r="B26" s="215"/>
      <c r="C26" s="210">
        <f>SUM(C23:C25)</f>
        <v>5.4</v>
      </c>
      <c r="D26" s="215"/>
      <c r="E26" s="210">
        <f>SUM(E23:E25)</f>
        <v>0</v>
      </c>
      <c r="F26" s="215"/>
      <c r="G26" s="210">
        <f>SUM(G23:G25)</f>
        <v>2</v>
      </c>
      <c r="H26" s="215"/>
      <c r="I26" s="274">
        <f>SUM(I23:I25)</f>
        <v>1</v>
      </c>
      <c r="J26" s="215"/>
      <c r="K26" s="210">
        <f>SUM(K23:K25)+6</f>
        <v>26.7</v>
      </c>
      <c r="L26" s="215"/>
      <c r="M26" s="210">
        <f>SUM(M23:M25)</f>
        <v>4</v>
      </c>
      <c r="N26" s="215"/>
      <c r="O26" s="210">
        <f>SUM(O23:O25)</f>
        <v>3</v>
      </c>
      <c r="P26" s="210">
        <f>SUM(P23:P25)</f>
        <v>2</v>
      </c>
      <c r="Q26" s="210">
        <f>SUM(Q23:Q25)</f>
        <v>2</v>
      </c>
      <c r="R26" s="198"/>
      <c r="S26" s="210">
        <f>SUM(S23:S25)</f>
        <v>2</v>
      </c>
      <c r="T26" s="210"/>
      <c r="U26" s="217">
        <f>SUM(U23:U25)</f>
        <v>1</v>
      </c>
      <c r="V26" s="215"/>
      <c r="W26" s="210">
        <f>SUM(W23:W25)</f>
        <v>6</v>
      </c>
      <c r="Y26" s="110" t="s">
        <v>86</v>
      </c>
      <c r="Z26" s="1">
        <v>50</v>
      </c>
    </row>
    <row r="27" spans="1:23" ht="26.25" customHeight="1">
      <c r="A27" s="174" t="s">
        <v>92</v>
      </c>
      <c r="B27" s="355"/>
      <c r="C27" s="356"/>
      <c r="D27" s="355"/>
      <c r="E27" s="356"/>
      <c r="F27" s="357" t="s">
        <v>178</v>
      </c>
      <c r="G27" s="358"/>
      <c r="H27" s="357"/>
      <c r="I27" s="358"/>
      <c r="J27" s="352"/>
      <c r="K27" s="352"/>
      <c r="L27" s="357" t="s">
        <v>179</v>
      </c>
      <c r="M27" s="358"/>
      <c r="N27" s="355"/>
      <c r="O27" s="375"/>
      <c r="P27" s="357" t="s">
        <v>179</v>
      </c>
      <c r="Q27" s="358"/>
      <c r="R27" s="363" t="s">
        <v>163</v>
      </c>
      <c r="S27" s="364"/>
      <c r="T27" s="363" t="s">
        <v>161</v>
      </c>
      <c r="U27" s="364"/>
      <c r="V27" s="359"/>
      <c r="W27" s="359"/>
    </row>
    <row r="28" spans="1:23" ht="18">
      <c r="A28" s="161" t="s">
        <v>93</v>
      </c>
      <c r="B28" s="114"/>
      <c r="C28" s="114">
        <v>0</v>
      </c>
      <c r="D28" s="1"/>
      <c r="E28" s="114">
        <v>0</v>
      </c>
      <c r="F28" s="114"/>
      <c r="G28" s="210">
        <f>G26</f>
        <v>2</v>
      </c>
      <c r="H28" s="114"/>
      <c r="I28" s="210"/>
      <c r="J28" s="1"/>
      <c r="K28" s="1"/>
      <c r="L28" s="114">
        <v>0</v>
      </c>
      <c r="M28" s="210">
        <f>M26</f>
        <v>4</v>
      </c>
      <c r="N28" s="1"/>
      <c r="O28" s="124">
        <v>0</v>
      </c>
      <c r="P28" s="210">
        <f>P26</f>
        <v>2</v>
      </c>
      <c r="Q28" s="162"/>
      <c r="R28" s="114"/>
      <c r="S28" s="210">
        <f>2+2</f>
        <v>4</v>
      </c>
      <c r="T28" s="114"/>
      <c r="U28" s="217">
        <v>2</v>
      </c>
      <c r="V28" s="163"/>
      <c r="W28" s="123">
        <v>0</v>
      </c>
    </row>
    <row r="29" spans="1:23" ht="15">
      <c r="A29" s="125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126"/>
    </row>
    <row r="30" spans="1:23" ht="15" customHeight="1">
      <c r="A30" s="127" t="s">
        <v>94</v>
      </c>
      <c r="B30" s="170" t="s">
        <v>143</v>
      </c>
      <c r="C30" s="165" t="s">
        <v>139</v>
      </c>
      <c r="D30" s="169" t="s">
        <v>142</v>
      </c>
      <c r="E30" s="165" t="s">
        <v>140</v>
      </c>
      <c r="F30" s="170" t="s">
        <v>131</v>
      </c>
      <c r="G30" s="165" t="s">
        <v>138</v>
      </c>
      <c r="H30" s="165" t="s">
        <v>141</v>
      </c>
      <c r="I30" s="167" t="s">
        <v>144</v>
      </c>
      <c r="J30" s="128" t="s">
        <v>148</v>
      </c>
      <c r="K30" s="165" t="s">
        <v>145</v>
      </c>
      <c r="L30" s="165" t="s">
        <v>146</v>
      </c>
      <c r="M30" s="167" t="s">
        <v>134</v>
      </c>
      <c r="N30" s="168" t="s">
        <v>108</v>
      </c>
      <c r="O30" s="173" t="s">
        <v>150</v>
      </c>
      <c r="P30" s="128" t="s">
        <v>149</v>
      </c>
      <c r="Q30" s="165" t="s">
        <v>169</v>
      </c>
      <c r="R30" s="165" t="s">
        <v>147</v>
      </c>
      <c r="S30" s="169" t="s">
        <v>135</v>
      </c>
      <c r="T30" s="172" t="s">
        <v>137</v>
      </c>
      <c r="U30" s="165" t="s">
        <v>136</v>
      </c>
      <c r="V30" s="165"/>
      <c r="W30" s="172" t="s">
        <v>151</v>
      </c>
    </row>
    <row r="31" spans="1:23" ht="15">
      <c r="A31" s="25" t="s">
        <v>79</v>
      </c>
      <c r="B31" s="156">
        <f>(0.4+0.15)+0.4</f>
        <v>0.9500000000000001</v>
      </c>
      <c r="C31" s="156">
        <v>2</v>
      </c>
      <c r="D31" s="212"/>
      <c r="E31" s="212"/>
      <c r="F31" s="156">
        <f>1.2+0.3</f>
        <v>1.5</v>
      </c>
      <c r="G31" s="34"/>
      <c r="H31" s="156">
        <v>1</v>
      </c>
      <c r="I31" s="34"/>
      <c r="J31" s="34"/>
      <c r="K31" s="40"/>
      <c r="L31" s="176"/>
      <c r="M31" s="176"/>
      <c r="N31" s="34"/>
      <c r="O31" s="220"/>
      <c r="P31" s="156">
        <f>2</f>
        <v>2</v>
      </c>
      <c r="Q31" s="156">
        <v>1</v>
      </c>
      <c r="R31" s="200"/>
      <c r="S31" s="34"/>
      <c r="T31" s="156">
        <f>H31</f>
        <v>1</v>
      </c>
      <c r="U31" s="156">
        <v>1</v>
      </c>
      <c r="V31" s="131"/>
      <c r="W31" s="34"/>
    </row>
    <row r="32" spans="1:23" ht="15">
      <c r="A32" s="25" t="s">
        <v>81</v>
      </c>
      <c r="B32" s="156">
        <f>(0.4+0.15)+0.4</f>
        <v>0.9500000000000001</v>
      </c>
      <c r="C32" s="156">
        <v>2</v>
      </c>
      <c r="D32" s="212"/>
      <c r="E32" s="212"/>
      <c r="F32" s="156">
        <f>0.9+0.7</f>
        <v>1.6</v>
      </c>
      <c r="G32" s="34"/>
      <c r="H32" s="156">
        <v>1</v>
      </c>
      <c r="I32" s="34"/>
      <c r="J32" s="176"/>
      <c r="K32" s="176"/>
      <c r="L32" s="131"/>
      <c r="M32" s="176"/>
      <c r="N32" s="34"/>
      <c r="O32" s="40"/>
      <c r="P32" s="40"/>
      <c r="Q32" s="34"/>
      <c r="R32" s="200"/>
      <c r="S32" s="156">
        <v>1</v>
      </c>
      <c r="T32" s="156">
        <f>H32</f>
        <v>1</v>
      </c>
      <c r="U32" s="156">
        <v>1</v>
      </c>
      <c r="V32" s="131"/>
      <c r="W32" s="34"/>
    </row>
    <row r="33" spans="1:23" ht="28.5" customHeight="1">
      <c r="A33" s="194" t="s">
        <v>170</v>
      </c>
      <c r="B33" s="185">
        <f>(0.4+0.15)+0.5</f>
        <v>1.05</v>
      </c>
      <c r="C33" s="185">
        <v>0</v>
      </c>
      <c r="D33" s="199"/>
      <c r="E33" s="34"/>
      <c r="F33" s="185">
        <v>0.6</v>
      </c>
      <c r="G33" s="34"/>
      <c r="H33" s="31">
        <v>1</v>
      </c>
      <c r="I33" s="31"/>
      <c r="J33" s="31"/>
      <c r="K33" s="68"/>
      <c r="L33" s="31"/>
      <c r="M33" s="200"/>
      <c r="N33" s="34"/>
      <c r="O33" s="68"/>
      <c r="P33" s="34"/>
      <c r="Q33" s="68"/>
      <c r="R33" s="34"/>
      <c r="S33" s="199"/>
      <c r="T33" s="185">
        <v>1</v>
      </c>
      <c r="U33" s="185">
        <v>1</v>
      </c>
      <c r="V33" s="40"/>
      <c r="W33" s="40"/>
    </row>
    <row r="34" spans="1:23" ht="28.5" customHeight="1">
      <c r="A34" s="194" t="s">
        <v>171</v>
      </c>
      <c r="B34" s="185">
        <f>0.4+1</f>
        <v>1.4</v>
      </c>
      <c r="C34" s="185">
        <v>2</v>
      </c>
      <c r="D34" s="212"/>
      <c r="E34" s="131"/>
      <c r="F34" s="31"/>
      <c r="G34" s="199"/>
      <c r="H34" s="212"/>
      <c r="I34" s="221"/>
      <c r="J34" s="40"/>
      <c r="K34" s="40"/>
      <c r="L34" s="222"/>
      <c r="M34" s="212"/>
      <c r="N34" s="212"/>
      <c r="O34" s="40"/>
      <c r="P34" s="40"/>
      <c r="Q34" s="40"/>
      <c r="R34" s="40"/>
      <c r="S34" s="40"/>
      <c r="T34" s="40"/>
      <c r="U34" s="40"/>
      <c r="V34" s="199"/>
      <c r="W34" s="212"/>
    </row>
    <row r="35" spans="1:23" ht="15">
      <c r="A35" s="113" t="s">
        <v>85</v>
      </c>
      <c r="B35" s="156">
        <f>(0.4+0.15)+0.4</f>
        <v>0.9500000000000001</v>
      </c>
      <c r="C35" s="185">
        <v>2</v>
      </c>
      <c r="D35" s="199"/>
      <c r="E35" s="31"/>
      <c r="F35" s="185">
        <v>0.5</v>
      </c>
      <c r="G35" s="30"/>
      <c r="H35" s="31"/>
      <c r="I35" s="34"/>
      <c r="J35" s="176"/>
      <c r="K35" s="176"/>
      <c r="L35" s="31"/>
      <c r="M35" s="30"/>
      <c r="N35" s="34"/>
      <c r="O35" s="68"/>
      <c r="P35" s="185">
        <f>2.2+0.6+0.3</f>
        <v>3.1</v>
      </c>
      <c r="Q35" s="185">
        <v>1</v>
      </c>
      <c r="R35" s="185">
        <v>2</v>
      </c>
      <c r="S35" s="199"/>
      <c r="T35" s="185">
        <v>1</v>
      </c>
      <c r="U35" s="185">
        <v>1</v>
      </c>
      <c r="V35" s="68"/>
      <c r="W35" s="40"/>
    </row>
    <row r="36" spans="1:23" ht="15">
      <c r="A36" s="113" t="s">
        <v>83</v>
      </c>
      <c r="B36" s="156">
        <f>(0.4+0.15)+0.4</f>
        <v>0.9500000000000001</v>
      </c>
      <c r="C36" s="185">
        <v>2</v>
      </c>
      <c r="D36" s="199"/>
      <c r="E36" s="31"/>
      <c r="F36" s="185">
        <v>0.5</v>
      </c>
      <c r="G36" s="30"/>
      <c r="H36" s="31"/>
      <c r="I36" s="34"/>
      <c r="J36" s="176"/>
      <c r="K36" s="176"/>
      <c r="L36" s="31"/>
      <c r="M36" s="30"/>
      <c r="N36" s="34"/>
      <c r="O36" s="68"/>
      <c r="P36" s="185">
        <v>2.6</v>
      </c>
      <c r="Q36" s="185">
        <v>1</v>
      </c>
      <c r="R36" s="199"/>
      <c r="S36" s="199"/>
      <c r="T36" s="185">
        <v>1</v>
      </c>
      <c r="U36" s="185">
        <v>1</v>
      </c>
      <c r="V36" s="68"/>
      <c r="W36" s="40"/>
    </row>
    <row r="37" spans="1:23" ht="15">
      <c r="A37" s="192" t="s">
        <v>88</v>
      </c>
      <c r="B37" s="185">
        <f>(0.4+0.15)+0.3</f>
        <v>0.8500000000000001</v>
      </c>
      <c r="C37" s="185">
        <v>2</v>
      </c>
      <c r="D37" s="199"/>
      <c r="E37" s="34"/>
      <c r="F37" s="185">
        <v>3</v>
      </c>
      <c r="G37" s="34"/>
      <c r="H37" s="31"/>
      <c r="I37" s="31"/>
      <c r="J37" s="31"/>
      <c r="K37" s="68"/>
      <c r="L37" s="31"/>
      <c r="M37" s="200"/>
      <c r="N37" s="34"/>
      <c r="O37" s="68"/>
      <c r="P37" s="34"/>
      <c r="Q37" s="68"/>
      <c r="R37" s="34"/>
      <c r="S37" s="199"/>
      <c r="T37" s="34"/>
      <c r="U37" s="68"/>
      <c r="V37" s="40"/>
      <c r="W37" s="40"/>
    </row>
    <row r="38" spans="1:23" ht="15">
      <c r="A38" s="113" t="s">
        <v>87</v>
      </c>
      <c r="B38" s="185">
        <f>(0.4+0.15)+0.4</f>
        <v>0.9500000000000001</v>
      </c>
      <c r="C38" s="185">
        <v>2</v>
      </c>
      <c r="D38" s="68"/>
      <c r="E38" s="31"/>
      <c r="F38" s="200"/>
      <c r="G38" s="202"/>
      <c r="H38" s="31"/>
      <c r="I38" s="31"/>
      <c r="J38" s="185">
        <f>2.4+1.2+1.2</f>
        <v>4.8</v>
      </c>
      <c r="K38" s="40"/>
      <c r="L38" s="185">
        <v>2</v>
      </c>
      <c r="M38" s="201"/>
      <c r="N38" s="34"/>
      <c r="O38" s="185">
        <v>1</v>
      </c>
      <c r="P38" s="176"/>
      <c r="Q38" s="176"/>
      <c r="R38" s="199"/>
      <c r="S38" s="199"/>
      <c r="T38" s="176"/>
      <c r="U38" s="34"/>
      <c r="V38" s="40"/>
      <c r="W38" s="40"/>
    </row>
    <row r="39" spans="1:23" ht="15">
      <c r="A39" s="113" t="s">
        <v>105</v>
      </c>
      <c r="B39" s="185">
        <f>(0.4+0.15)+0.4</f>
        <v>0.9500000000000001</v>
      </c>
      <c r="C39" s="185">
        <v>2</v>
      </c>
      <c r="D39" s="68"/>
      <c r="E39" s="31"/>
      <c r="F39" s="185">
        <f>1+0.55+1.55</f>
        <v>3.1</v>
      </c>
      <c r="G39" s="34"/>
      <c r="H39" s="156">
        <v>2</v>
      </c>
      <c r="I39" s="31"/>
      <c r="J39" s="34"/>
      <c r="K39" s="40"/>
      <c r="L39" s="31"/>
      <c r="M39" s="201"/>
      <c r="N39" s="185">
        <v>1</v>
      </c>
      <c r="O39" s="68"/>
      <c r="P39" s="40"/>
      <c r="Q39" s="40"/>
      <c r="R39" s="199"/>
      <c r="S39" s="199"/>
      <c r="T39" s="40"/>
      <c r="U39" s="176"/>
      <c r="V39" s="40"/>
      <c r="W39" s="40"/>
    </row>
    <row r="40" spans="1:23" ht="29.25" customHeight="1">
      <c r="A40" s="223" t="s">
        <v>188</v>
      </c>
      <c r="B40" s="40"/>
      <c r="C40" s="40"/>
      <c r="D40" s="40"/>
      <c r="E40" s="40"/>
      <c r="F40" s="40"/>
      <c r="G40" s="40"/>
      <c r="H40" s="40"/>
      <c r="I40" s="40"/>
      <c r="J40" s="176"/>
      <c r="K40" s="176"/>
      <c r="L40" s="40"/>
      <c r="M40" s="40"/>
      <c r="N40" s="34"/>
      <c r="O40" s="40"/>
      <c r="P40" s="185">
        <f>16+4.2+0.7+2</f>
        <v>22.9</v>
      </c>
      <c r="Q40" s="40"/>
      <c r="R40" s="40"/>
      <c r="S40" s="40"/>
      <c r="T40" s="40"/>
      <c r="U40" s="40"/>
      <c r="V40" s="40"/>
      <c r="W40" s="40"/>
    </row>
    <row r="41" spans="1:23" ht="26.25">
      <c r="A41" s="166" t="s">
        <v>132</v>
      </c>
      <c r="B41" s="40"/>
      <c r="C41" s="40"/>
      <c r="D41" s="40"/>
      <c r="E41" s="40"/>
      <c r="F41" s="40"/>
      <c r="G41" s="40"/>
      <c r="H41" s="40"/>
      <c r="I41" s="40"/>
      <c r="J41" s="176"/>
      <c r="K41" s="176"/>
      <c r="L41" s="40"/>
      <c r="M41" s="40"/>
      <c r="N41" s="40"/>
      <c r="O41" s="40"/>
      <c r="P41" s="34"/>
      <c r="Q41" s="40"/>
      <c r="R41" s="40"/>
      <c r="S41" s="40"/>
      <c r="T41" s="40"/>
      <c r="U41" s="40"/>
      <c r="V41" s="40"/>
      <c r="W41" s="195">
        <v>4</v>
      </c>
    </row>
    <row r="42" spans="1:23" ht="15">
      <c r="A42" s="122" t="s">
        <v>106</v>
      </c>
      <c r="B42" s="224">
        <f aca="true" t="shared" si="1" ref="B42:M42">SUM(B31:B41)</f>
        <v>8.999999999999998</v>
      </c>
      <c r="C42" s="224">
        <f t="shared" si="1"/>
        <v>16</v>
      </c>
      <c r="D42" s="224">
        <f t="shared" si="1"/>
        <v>0</v>
      </c>
      <c r="E42" s="224">
        <f t="shared" si="1"/>
        <v>0</v>
      </c>
      <c r="F42" s="224">
        <f t="shared" si="1"/>
        <v>10.8</v>
      </c>
      <c r="G42" s="224">
        <f t="shared" si="1"/>
        <v>0</v>
      </c>
      <c r="H42" s="224">
        <f t="shared" si="1"/>
        <v>5</v>
      </c>
      <c r="I42" s="224">
        <f t="shared" si="1"/>
        <v>0</v>
      </c>
      <c r="J42" s="224">
        <f t="shared" si="1"/>
        <v>4.8</v>
      </c>
      <c r="K42" s="224">
        <f t="shared" si="1"/>
        <v>0</v>
      </c>
      <c r="L42" s="224">
        <f t="shared" si="1"/>
        <v>2</v>
      </c>
      <c r="M42" s="224">
        <f t="shared" si="1"/>
        <v>0</v>
      </c>
      <c r="N42" s="224">
        <f aca="true" t="shared" si="2" ref="N42:U42">SUM(N31:N41)</f>
        <v>1</v>
      </c>
      <c r="O42" s="224">
        <f t="shared" si="2"/>
        <v>1</v>
      </c>
      <c r="P42" s="224">
        <f t="shared" si="2"/>
        <v>30.599999999999998</v>
      </c>
      <c r="Q42" s="224">
        <f t="shared" si="2"/>
        <v>3</v>
      </c>
      <c r="R42" s="224">
        <f t="shared" si="2"/>
        <v>2</v>
      </c>
      <c r="S42" s="224">
        <f t="shared" si="2"/>
        <v>1</v>
      </c>
      <c r="T42" s="224">
        <f t="shared" si="2"/>
        <v>5</v>
      </c>
      <c r="U42" s="224">
        <f t="shared" si="2"/>
        <v>5</v>
      </c>
      <c r="V42" s="224">
        <f>SUM(V31:V41)</f>
        <v>0</v>
      </c>
      <c r="W42" s="224">
        <f>SUM(W31:W41)</f>
        <v>4</v>
      </c>
    </row>
    <row r="43" spans="1:23" ht="15" customHeight="1">
      <c r="A43" s="127" t="s">
        <v>96</v>
      </c>
      <c r="B43" s="352"/>
      <c r="C43" s="352"/>
      <c r="D43" s="352"/>
      <c r="E43" s="352"/>
      <c r="F43" s="170" t="s">
        <v>95</v>
      </c>
      <c r="G43" s="128" t="s">
        <v>152</v>
      </c>
      <c r="H43" s="165" t="s">
        <v>189</v>
      </c>
      <c r="I43" s="181" t="s">
        <v>153</v>
      </c>
      <c r="J43" s="108" t="s">
        <v>134</v>
      </c>
      <c r="K43" s="165" t="s">
        <v>154</v>
      </c>
      <c r="L43" s="165"/>
      <c r="M43" s="129"/>
      <c r="N43" s="128" t="s">
        <v>108</v>
      </c>
      <c r="O43" s="130"/>
      <c r="P43" s="352"/>
      <c r="Q43" s="352"/>
      <c r="R43" s="352"/>
      <c r="S43" s="352"/>
      <c r="T43" s="128"/>
      <c r="U43" s="181"/>
      <c r="V43" s="353"/>
      <c r="W43" s="354"/>
    </row>
    <row r="44" spans="1:27" ht="15">
      <c r="A44" s="25" t="s">
        <v>79</v>
      </c>
      <c r="B44" s="34"/>
      <c r="C44" s="131"/>
      <c r="D44" s="121"/>
      <c r="E44" s="121"/>
      <c r="F44" s="156">
        <v>0.5</v>
      </c>
      <c r="G44" s="156">
        <v>1</v>
      </c>
      <c r="H44" s="156"/>
      <c r="I44" s="156">
        <f>1+1</f>
        <v>2</v>
      </c>
      <c r="J44" s="156"/>
      <c r="K44" s="33"/>
      <c r="L44" s="156"/>
      <c r="M44" s="29"/>
      <c r="N44" s="233"/>
      <c r="O44" s="132"/>
      <c r="P44" s="3"/>
      <c r="Q44" s="3"/>
      <c r="R44" s="5"/>
      <c r="S44" s="1"/>
      <c r="T44" s="156"/>
      <c r="U44" s="34"/>
      <c r="V44" s="156"/>
      <c r="W44" s="121"/>
      <c r="AA44" s="4"/>
    </row>
    <row r="45" spans="1:27" ht="15">
      <c r="A45" s="25" t="s">
        <v>81</v>
      </c>
      <c r="B45" s="34"/>
      <c r="C45" s="131"/>
      <c r="D45" s="121"/>
      <c r="E45" s="121"/>
      <c r="F45" s="156">
        <f>0.5+(0.1+2.7+0.3)+1</f>
        <v>4.6</v>
      </c>
      <c r="G45" s="156"/>
      <c r="H45" s="156"/>
      <c r="I45" s="156">
        <f>1+1</f>
        <v>2</v>
      </c>
      <c r="J45" s="156"/>
      <c r="K45" s="33"/>
      <c r="L45" s="156"/>
      <c r="M45" s="29"/>
      <c r="N45" s="233"/>
      <c r="O45" s="3"/>
      <c r="P45" s="3"/>
      <c r="Q45" s="3"/>
      <c r="R45" s="5"/>
      <c r="S45" s="1"/>
      <c r="T45" s="156"/>
      <c r="U45" s="34"/>
      <c r="V45" s="156"/>
      <c r="W45" s="121"/>
      <c r="Y45" s="4"/>
      <c r="Z45" s="4"/>
      <c r="AA45" s="4"/>
    </row>
    <row r="46" spans="1:27" ht="26.25">
      <c r="A46" s="194" t="s">
        <v>170</v>
      </c>
      <c r="B46" s="34"/>
      <c r="C46" s="131"/>
      <c r="D46" s="121"/>
      <c r="E46" s="230"/>
      <c r="F46" s="156">
        <f>0.6+2</f>
        <v>2.6</v>
      </c>
      <c r="G46" s="156">
        <v>1</v>
      </c>
      <c r="H46" s="156">
        <v>1</v>
      </c>
      <c r="I46" s="156"/>
      <c r="J46" s="156"/>
      <c r="K46" s="33"/>
      <c r="L46" s="156"/>
      <c r="M46" s="29"/>
      <c r="N46" s="233"/>
      <c r="O46" s="87"/>
      <c r="P46" s="3"/>
      <c r="Q46" s="3"/>
      <c r="R46" s="5"/>
      <c r="S46" s="1"/>
      <c r="T46" s="156"/>
      <c r="U46" s="34"/>
      <c r="V46" s="156"/>
      <c r="W46" s="121"/>
      <c r="Y46" s="4"/>
      <c r="Z46" s="4"/>
      <c r="AA46" s="4"/>
    </row>
    <row r="47" spans="1:27" ht="15">
      <c r="A47" s="113" t="s">
        <v>85</v>
      </c>
      <c r="B47" s="34"/>
      <c r="C47" s="131"/>
      <c r="D47" s="121"/>
      <c r="E47" s="134"/>
      <c r="F47" s="156">
        <f>0.5+(0.1+2.7+0.3)+1</f>
        <v>4.6</v>
      </c>
      <c r="G47" s="156">
        <v>1</v>
      </c>
      <c r="H47" s="156"/>
      <c r="I47" s="156">
        <f>1+1</f>
        <v>2</v>
      </c>
      <c r="J47" s="156"/>
      <c r="K47" s="32"/>
      <c r="L47" s="156"/>
      <c r="M47" s="29"/>
      <c r="N47" s="157"/>
      <c r="O47" s="135"/>
      <c r="P47" s="136"/>
      <c r="Q47" s="3"/>
      <c r="R47" s="3"/>
      <c r="S47" s="1"/>
      <c r="T47" s="156"/>
      <c r="U47" s="34"/>
      <c r="V47" s="156"/>
      <c r="W47" s="121"/>
      <c r="Y47" s="137"/>
      <c r="Z47" s="137"/>
      <c r="AA47" s="4"/>
    </row>
    <row r="48" spans="1:27" ht="15">
      <c r="A48" s="113" t="s">
        <v>83</v>
      </c>
      <c r="B48" s="34"/>
      <c r="C48" s="131"/>
      <c r="D48" s="121"/>
      <c r="E48" s="133"/>
      <c r="F48" s="156">
        <v>0.5</v>
      </c>
      <c r="G48" s="156">
        <v>1</v>
      </c>
      <c r="H48" s="156"/>
      <c r="I48" s="156">
        <v>1</v>
      </c>
      <c r="J48" s="156"/>
      <c r="K48" s="33"/>
      <c r="L48" s="156"/>
      <c r="M48" s="29"/>
      <c r="N48" s="157"/>
      <c r="O48" s="135"/>
      <c r="P48" s="136"/>
      <c r="Q48" s="3"/>
      <c r="R48" s="5"/>
      <c r="S48" s="1"/>
      <c r="T48" s="156"/>
      <c r="U48" s="34"/>
      <c r="V48" s="156"/>
      <c r="W48" s="121"/>
      <c r="Y48" s="95"/>
      <c r="Z48" s="137"/>
      <c r="AA48" s="4"/>
    </row>
    <row r="49" spans="1:27" ht="15">
      <c r="A49" s="113" t="s">
        <v>87</v>
      </c>
      <c r="B49" s="34"/>
      <c r="C49" s="131"/>
      <c r="D49" s="121"/>
      <c r="E49" s="121"/>
      <c r="F49" s="156">
        <f>1.35+(0.15+2.7+0.3)+1.5</f>
        <v>6</v>
      </c>
      <c r="G49" s="44"/>
      <c r="H49" s="29"/>
      <c r="I49" s="156"/>
      <c r="J49" s="156">
        <v>1</v>
      </c>
      <c r="K49" s="156">
        <v>1</v>
      </c>
      <c r="L49" s="44"/>
      <c r="M49" s="29"/>
      <c r="N49" s="156">
        <v>1</v>
      </c>
      <c r="O49" s="3"/>
      <c r="P49" s="3"/>
      <c r="Q49" s="156"/>
      <c r="R49" s="156"/>
      <c r="S49" s="3"/>
      <c r="T49" s="156"/>
      <c r="U49" s="34"/>
      <c r="V49" s="112"/>
      <c r="W49" s="121"/>
      <c r="Y49" s="4"/>
      <c r="Z49" s="4"/>
      <c r="AA49" s="4"/>
    </row>
    <row r="50" spans="1:27" ht="15">
      <c r="A50" s="113" t="s">
        <v>105</v>
      </c>
      <c r="B50" s="177"/>
      <c r="C50" s="178"/>
      <c r="D50" s="182"/>
      <c r="E50" s="182"/>
      <c r="F50" s="156">
        <v>0.3</v>
      </c>
      <c r="G50" s="156">
        <v>1</v>
      </c>
      <c r="H50" s="231"/>
      <c r="I50" s="156">
        <v>2</v>
      </c>
      <c r="J50" s="180"/>
      <c r="K50" s="232"/>
      <c r="L50" s="229"/>
      <c r="M50" s="231"/>
      <c r="N50" s="156"/>
      <c r="O50" s="150"/>
      <c r="P50" s="150"/>
      <c r="Q50" s="180"/>
      <c r="R50" s="180"/>
      <c r="S50" s="150"/>
      <c r="T50" s="180"/>
      <c r="U50" s="34"/>
      <c r="V50" s="179"/>
      <c r="W50" s="182"/>
      <c r="Y50" s="4"/>
      <c r="Z50" s="4"/>
      <c r="AA50" s="4"/>
    </row>
    <row r="51" spans="1:27" ht="15">
      <c r="A51" s="192" t="s">
        <v>107</v>
      </c>
      <c r="B51" s="177"/>
      <c r="C51" s="178"/>
      <c r="D51" s="182"/>
      <c r="E51" s="182"/>
      <c r="F51" s="180"/>
      <c r="G51" s="229"/>
      <c r="H51" s="231"/>
      <c r="I51" s="225"/>
      <c r="J51" s="180"/>
      <c r="K51" s="232"/>
      <c r="L51" s="229"/>
      <c r="M51" s="231"/>
      <c r="N51" s="231"/>
      <c r="O51" s="150"/>
      <c r="P51" s="150"/>
      <c r="Q51" s="180"/>
      <c r="R51" s="180"/>
      <c r="S51" s="150"/>
      <c r="T51" s="180"/>
      <c r="U51" s="179"/>
      <c r="V51" s="179"/>
      <c r="W51" s="182"/>
      <c r="Y51" s="4"/>
      <c r="Z51" s="4"/>
      <c r="AA51" s="4"/>
    </row>
    <row r="52" spans="1:26" s="141" customFormat="1" ht="15">
      <c r="A52" s="115" t="s">
        <v>89</v>
      </c>
      <c r="B52" s="138"/>
      <c r="C52" s="138"/>
      <c r="D52" s="139"/>
      <c r="E52" s="140"/>
      <c r="F52" s="180">
        <f aca="true" t="shared" si="3" ref="F52:K52">SUM(F44:F51)</f>
        <v>19.099999999999998</v>
      </c>
      <c r="G52" s="180">
        <f t="shared" si="3"/>
        <v>5</v>
      </c>
      <c r="H52" s="180">
        <f t="shared" si="3"/>
        <v>1</v>
      </c>
      <c r="I52" s="180">
        <f t="shared" si="3"/>
        <v>9</v>
      </c>
      <c r="J52" s="180">
        <f t="shared" si="3"/>
        <v>1</v>
      </c>
      <c r="K52" s="180">
        <f t="shared" si="3"/>
        <v>1</v>
      </c>
      <c r="L52" s="180"/>
      <c r="M52" s="180"/>
      <c r="N52" s="180">
        <f>SUM(N44:N51)</f>
        <v>1</v>
      </c>
      <c r="O52" s="138"/>
      <c r="P52" s="138"/>
      <c r="Q52" s="138"/>
      <c r="R52" s="138"/>
      <c r="S52" s="138"/>
      <c r="T52" s="138"/>
      <c r="U52" s="138"/>
      <c r="V52" s="138"/>
      <c r="W52" s="139"/>
      <c r="Z52" s="84"/>
    </row>
    <row r="53" spans="1:23" s="141" customFormat="1" ht="12.75">
      <c r="A53" s="116"/>
      <c r="B53" s="142"/>
      <c r="C53" s="142"/>
      <c r="D53" s="143"/>
      <c r="E53" s="144"/>
      <c r="F53" s="142"/>
      <c r="G53" s="145"/>
      <c r="H53" s="142"/>
      <c r="I53" s="142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2"/>
      <c r="W53" s="146"/>
    </row>
    <row r="54" spans="1:26" ht="15">
      <c r="A54" s="147" t="s">
        <v>97</v>
      </c>
      <c r="B54" s="164" t="s">
        <v>110</v>
      </c>
      <c r="C54" s="165" t="s">
        <v>111</v>
      </c>
      <c r="D54" s="165" t="s">
        <v>112</v>
      </c>
      <c r="E54" s="129"/>
      <c r="F54" s="148"/>
      <c r="G54" s="148"/>
      <c r="H54" s="148"/>
      <c r="I54" s="149"/>
      <c r="J54" s="164"/>
      <c r="K54" s="165"/>
      <c r="L54" s="165"/>
      <c r="M54" s="148"/>
      <c r="N54" s="165" t="s">
        <v>156</v>
      </c>
      <c r="O54" s="130"/>
      <c r="P54" s="165" t="s">
        <v>155</v>
      </c>
      <c r="Q54" s="165" t="s">
        <v>246</v>
      </c>
      <c r="R54" s="165" t="s">
        <v>247</v>
      </c>
      <c r="S54" s="165" t="s">
        <v>136</v>
      </c>
      <c r="T54" s="165"/>
      <c r="U54" s="147" t="s">
        <v>98</v>
      </c>
      <c r="V54" s="164" t="s">
        <v>114</v>
      </c>
      <c r="W54" s="183" t="s">
        <v>151</v>
      </c>
      <c r="Y54" s="141"/>
      <c r="Z54" s="141"/>
    </row>
    <row r="55" spans="1:26" ht="15">
      <c r="A55" s="25" t="s">
        <v>157</v>
      </c>
      <c r="B55" s="34"/>
      <c r="C55" s="40"/>
      <c r="D55" s="131"/>
      <c r="E55" s="34"/>
      <c r="F55" s="34"/>
      <c r="G55" s="131"/>
      <c r="H55" s="212"/>
      <c r="I55" s="131"/>
      <c r="J55" s="34"/>
      <c r="K55" s="40"/>
      <c r="L55" s="131"/>
      <c r="M55" s="212"/>
      <c r="N55" s="34"/>
      <c r="O55" s="40"/>
      <c r="P55" s="241">
        <f>6+13+6+1.33</f>
        <v>26.33</v>
      </c>
      <c r="Q55" s="212"/>
      <c r="R55" s="241">
        <v>1</v>
      </c>
      <c r="S55" s="241">
        <v>1</v>
      </c>
      <c r="T55" s="241"/>
      <c r="U55" s="131"/>
      <c r="V55" s="40"/>
      <c r="W55" s="40"/>
      <c r="Y55" s="141"/>
      <c r="Z55" s="141"/>
    </row>
    <row r="56" spans="1:26" ht="15">
      <c r="A56" s="25" t="s">
        <v>113</v>
      </c>
      <c r="B56" s="241">
        <f>0.7+2.1+(2.7+0.3+0.4)</f>
        <v>6.199999999999999</v>
      </c>
      <c r="C56" s="241">
        <v>3</v>
      </c>
      <c r="D56" s="131"/>
      <c r="E56" s="34"/>
      <c r="F56" s="34"/>
      <c r="G56" s="131"/>
      <c r="H56" s="212"/>
      <c r="I56" s="131"/>
      <c r="J56" s="34"/>
      <c r="K56" s="34"/>
      <c r="L56" s="131"/>
      <c r="M56" s="212"/>
      <c r="N56" s="34"/>
      <c r="O56" s="40"/>
      <c r="P56" s="241">
        <v>10.5</v>
      </c>
      <c r="Q56" s="212"/>
      <c r="R56" s="34"/>
      <c r="S56" s="68"/>
      <c r="T56" s="40"/>
      <c r="U56" s="131"/>
      <c r="V56" s="40"/>
      <c r="W56" s="40"/>
      <c r="Y56" s="141"/>
      <c r="Z56" s="141"/>
    </row>
    <row r="57" spans="1:26" ht="15">
      <c r="A57" s="275" t="s">
        <v>323</v>
      </c>
      <c r="B57" s="3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241">
        <f>6*(3.5+1)</f>
        <v>27</v>
      </c>
      <c r="O57" s="40"/>
      <c r="P57" s="40"/>
      <c r="Q57" s="241">
        <f>2*4</f>
        <v>8</v>
      </c>
      <c r="R57" s="241">
        <f>5*2+1</f>
        <v>11</v>
      </c>
      <c r="S57" s="40"/>
      <c r="T57" s="40"/>
      <c r="U57" s="241">
        <f>6.3+4.8+6+5.5</f>
        <v>22.6</v>
      </c>
      <c r="V57" s="40"/>
      <c r="W57" s="40"/>
      <c r="Y57" s="141"/>
      <c r="Z57" s="141"/>
    </row>
    <row r="58" spans="1:26" ht="26.25">
      <c r="A58" s="166" t="s">
        <v>133</v>
      </c>
      <c r="B58" s="226"/>
      <c r="C58" s="242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34"/>
      <c r="V58" s="226"/>
      <c r="W58" s="195">
        <v>3</v>
      </c>
      <c r="Y58" s="141"/>
      <c r="Z58" s="141"/>
    </row>
    <row r="59" spans="1:23" s="158" customFormat="1" ht="12.75">
      <c r="A59" s="155" t="s">
        <v>89</v>
      </c>
      <c r="B59" s="123">
        <f aca="true" t="shared" si="4" ref="B59:W59">SUM(B55:B58)</f>
        <v>6.199999999999999</v>
      </c>
      <c r="C59" s="123">
        <f t="shared" si="4"/>
        <v>3</v>
      </c>
      <c r="D59" s="34">
        <f t="shared" si="4"/>
        <v>0</v>
      </c>
      <c r="E59" s="34">
        <f t="shared" si="4"/>
        <v>0</v>
      </c>
      <c r="F59" s="34">
        <f t="shared" si="4"/>
        <v>0</v>
      </c>
      <c r="G59" s="34">
        <f t="shared" si="4"/>
        <v>0</v>
      </c>
      <c r="H59" s="34">
        <f t="shared" si="4"/>
        <v>0</v>
      </c>
      <c r="I59" s="34">
        <f t="shared" si="4"/>
        <v>0</v>
      </c>
      <c r="J59" s="34">
        <f t="shared" si="4"/>
        <v>0</v>
      </c>
      <c r="K59" s="34">
        <f t="shared" si="4"/>
        <v>0</v>
      </c>
      <c r="L59" s="34">
        <f t="shared" si="4"/>
        <v>0</v>
      </c>
      <c r="M59" s="34">
        <f t="shared" si="4"/>
        <v>0</v>
      </c>
      <c r="N59" s="123">
        <f t="shared" si="4"/>
        <v>27</v>
      </c>
      <c r="O59" s="34">
        <f t="shared" si="4"/>
        <v>0</v>
      </c>
      <c r="P59" s="123">
        <f>SUM(P55:P58)</f>
        <v>36.83</v>
      </c>
      <c r="Q59" s="123">
        <f t="shared" si="4"/>
        <v>8</v>
      </c>
      <c r="R59" s="123">
        <f t="shared" si="4"/>
        <v>12</v>
      </c>
      <c r="S59" s="123">
        <f t="shared" si="4"/>
        <v>1</v>
      </c>
      <c r="T59" s="123">
        <f t="shared" si="4"/>
        <v>0</v>
      </c>
      <c r="U59" s="123">
        <f t="shared" si="4"/>
        <v>22.6</v>
      </c>
      <c r="V59" s="34">
        <f t="shared" si="4"/>
        <v>0</v>
      </c>
      <c r="W59" s="123">
        <f t="shared" si="4"/>
        <v>3</v>
      </c>
    </row>
    <row r="60" spans="1:26" ht="15">
      <c r="A60" s="148" t="s">
        <v>99</v>
      </c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3"/>
      <c r="Y60" s="141"/>
      <c r="Z60" s="141"/>
    </row>
    <row r="61" spans="1:23" ht="15">
      <c r="A61" s="154" t="s">
        <v>100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</row>
    <row r="62" spans="1:23" ht="15">
      <c r="A62" s="25" t="s">
        <v>101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113" t="s">
        <v>102</v>
      </c>
      <c r="B63" s="3"/>
      <c r="C63" s="3"/>
      <c r="D63" s="3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">
      <c r="A64" s="113" t="s">
        <v>103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">
      <c r="A65" s="113" t="s">
        <v>104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s="158" customFormat="1" ht="12.75">
      <c r="A66" s="155" t="s">
        <v>89</v>
      </c>
      <c r="B66" s="156">
        <f>SUM(B55:B65)</f>
        <v>12.399999999999999</v>
      </c>
      <c r="C66" s="156">
        <f>SUM(C55:C65)</f>
        <v>6</v>
      </c>
      <c r="D66" s="156">
        <f>SUM(D55:D65)</f>
        <v>0</v>
      </c>
      <c r="E66" s="156">
        <f>SUM(E55:E65)</f>
        <v>0</v>
      </c>
      <c r="F66" s="156">
        <f>SUM(F55:F65)</f>
        <v>0</v>
      </c>
      <c r="G66" s="156"/>
      <c r="H66" s="156"/>
      <c r="I66" s="156"/>
      <c r="J66" s="156">
        <f>SUM(J55:J65)</f>
        <v>0</v>
      </c>
      <c r="K66" s="156"/>
      <c r="L66" s="156"/>
      <c r="M66" s="156"/>
      <c r="N66" s="156"/>
      <c r="O66" s="157"/>
      <c r="P66" s="157"/>
      <c r="Q66" s="157"/>
      <c r="R66" s="157"/>
      <c r="S66" s="157"/>
      <c r="T66" s="157"/>
      <c r="U66" s="157"/>
      <c r="V66" s="156"/>
      <c r="W66" s="157"/>
    </row>
  </sheetData>
  <sheetProtection/>
  <mergeCells count="55">
    <mergeCell ref="L3:M3"/>
    <mergeCell ref="J4:K4"/>
    <mergeCell ref="V18:W18"/>
    <mergeCell ref="N4:O4"/>
    <mergeCell ref="P4:Q4"/>
    <mergeCell ref="R4:S4"/>
    <mergeCell ref="T4:U4"/>
    <mergeCell ref="J18:K18"/>
    <mergeCell ref="R18:S18"/>
    <mergeCell ref="V4:W4"/>
    <mergeCell ref="H3:I3"/>
    <mergeCell ref="B4:C4"/>
    <mergeCell ref="D4:E4"/>
    <mergeCell ref="J27:K27"/>
    <mergeCell ref="N27:O27"/>
    <mergeCell ref="R27:S27"/>
    <mergeCell ref="L4:M4"/>
    <mergeCell ref="P20:Q20"/>
    <mergeCell ref="R21:S21"/>
    <mergeCell ref="L18:M18"/>
    <mergeCell ref="J3:K3"/>
    <mergeCell ref="H4:I4"/>
    <mergeCell ref="D21:E21"/>
    <mergeCell ref="H18:I18"/>
    <mergeCell ref="B20:C20"/>
    <mergeCell ref="J21:K21"/>
    <mergeCell ref="J20:K20"/>
    <mergeCell ref="B3:C3"/>
    <mergeCell ref="D3:E3"/>
    <mergeCell ref="F3:G3"/>
    <mergeCell ref="F21:G21"/>
    <mergeCell ref="H21:I21"/>
    <mergeCell ref="H20:I20"/>
    <mergeCell ref="D20:E20"/>
    <mergeCell ref="F20:G20"/>
    <mergeCell ref="B21:C21"/>
    <mergeCell ref="T18:U18"/>
    <mergeCell ref="L27:M27"/>
    <mergeCell ref="P27:Q27"/>
    <mergeCell ref="T21:U21"/>
    <mergeCell ref="T27:U27"/>
    <mergeCell ref="L21:M21"/>
    <mergeCell ref="L20:M20"/>
    <mergeCell ref="N20:O20"/>
    <mergeCell ref="N21:O21"/>
    <mergeCell ref="B43:C43"/>
    <mergeCell ref="D43:E43"/>
    <mergeCell ref="P43:Q43"/>
    <mergeCell ref="R43:S43"/>
    <mergeCell ref="V43:W43"/>
    <mergeCell ref="B27:C27"/>
    <mergeCell ref="D27:E27"/>
    <mergeCell ref="H27:I27"/>
    <mergeCell ref="V27:W27"/>
    <mergeCell ref="F27:G2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Pedro Xavier de Araujo</cp:lastModifiedBy>
  <cp:lastPrinted>2021-07-14T18:24:13Z</cp:lastPrinted>
  <dcterms:created xsi:type="dcterms:W3CDTF">2021-04-06T14:11:22Z</dcterms:created>
  <dcterms:modified xsi:type="dcterms:W3CDTF">2021-10-19T14:41:32Z</dcterms:modified>
  <cp:category/>
  <cp:version/>
  <cp:contentType/>
  <cp:contentStatus/>
</cp:coreProperties>
</file>